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C:\Users\clemaurdesg.GOVAXA\Downloads\"/>
    </mc:Choice>
  </mc:AlternateContent>
  <xr:revisionPtr revIDLastSave="0" documentId="13_ncr:1_{CE6E6799-71C8-49FF-9AE8-A821FA3D71C0}" xr6:coauthVersionLast="47" xr6:coauthVersionMax="47" xr10:uidLastSave="{00000000-0000-0000-0000-000000000000}"/>
  <bookViews>
    <workbookView xWindow="2070" yWindow="1890" windowWidth="25470" windowHeight="13425" firstSheet="20" activeTab="22" xr2:uid="{00000000-000D-0000-FFFF-FFFF00000000}"/>
  </bookViews>
  <sheets>
    <sheet name="Consolidated Fin Position Q4" sheetId="40" r:id="rId1"/>
    <sheet name="Consolidated Inc Statement Q4" sheetId="46" r:id="rId2"/>
    <sheet name="Financial Ratios" sheetId="27" r:id="rId3"/>
    <sheet name="ADB Fin. Postition " sheetId="44" r:id="rId4"/>
    <sheet name="ADB Inc. Statement" sheetId="45" r:id="rId5"/>
    <sheet name="ATB Fin. Position" sheetId="63" r:id="rId6"/>
    <sheet name="ATB Inc. Statement" sheetId="61" r:id="rId7"/>
    <sheet name="AASPA Fin. Position" sheetId="56" r:id="rId8"/>
    <sheet name="AASPA Inc. Statement" sheetId="55" r:id="rId9"/>
    <sheet name="ACC Fin. Position" sheetId="54" r:id="rId10"/>
    <sheet name="ACC Inc Statement" sheetId="52" r:id="rId11"/>
    <sheet name="ANT Fin. Position" sheetId="47" r:id="rId12"/>
    <sheet name="ANT Inc Statement" sheetId="48" r:id="rId13"/>
    <sheet name="PSPF Fin. Position" sheetId="60" r:id="rId14"/>
    <sheet name="PSPF Inc. Statement" sheetId="59" r:id="rId15"/>
    <sheet name="AFSC Fin. Position" sheetId="57" r:id="rId16"/>
    <sheet name="AFSC Inc. Statement" sheetId="58" r:id="rId17"/>
    <sheet name="PUC Fin. Position" sheetId="49" r:id="rId18"/>
    <sheet name="PUC Inc. Statement" sheetId="53" r:id="rId19"/>
    <sheet name="ASSB Fin. Position" sheetId="64" r:id="rId20"/>
    <sheet name="ASSB Inc. Statement" sheetId="65" r:id="rId21"/>
    <sheet name="HAA Fin. Position" sheetId="66" r:id="rId22"/>
    <sheet name="HAA Inc. Statement" sheetId="67" r:id="rId23"/>
    <sheet name="WCA Fin. Position" sheetId="69" r:id="rId24"/>
    <sheet name="WCA Inc. Statement" sheetId="68" r:id="rId25"/>
  </sheets>
  <externalReferences>
    <externalReference r:id="rId26"/>
  </externalReferences>
  <definedNames>
    <definedName name="A1.">'ATB Fin. Position'!$1:$1048576</definedName>
    <definedName name="PeriodsInYear" localSheetId="9">'[1]INC Q1 -Q4'!#REF!</definedName>
    <definedName name="PeriodsInYear" localSheetId="23">#REF!</definedName>
    <definedName name="PeriodsInYear" localSheetId="24">#REF!</definedName>
    <definedName name="PeriodsInYear">#REF!</definedName>
    <definedName name="_xlnm.Print_Area" localSheetId="8">'AASPA Inc. Statement'!$A$1:$AE$82</definedName>
    <definedName name="_xlnm.Print_Area" localSheetId="10">'ACC Inc Statement'!$A$1:$AE$92</definedName>
    <definedName name="_xlnm.Print_Titles" localSheetId="16">'AFSC Inc. Statement'!$1:$11</definedName>
    <definedName name="_xlnm.Print_Titles" localSheetId="24">'WCA Inc. Statement'!$1:$11</definedName>
    <definedName name="Spec" localSheetId="9">'[1]BAL Q1-Q4'!#REF!</definedName>
    <definedName name="Spec" localSheetId="23">#REF!</definedName>
    <definedName name="Spec" localSheetId="24">#REF!</definedName>
    <definedName name="Spe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46" l="1"/>
  <c r="H14" i="46"/>
  <c r="H35" i="46"/>
  <c r="AC51" i="68" l="1"/>
  <c r="AC54" i="68"/>
  <c r="AC55" i="68"/>
  <c r="C41" i="68" l="1"/>
  <c r="B41" i="68"/>
  <c r="C25" i="68"/>
  <c r="C29" i="68" s="1"/>
  <c r="E61" i="49" l="1"/>
  <c r="B36" i="49"/>
  <c r="B35" i="49"/>
  <c r="B39" i="49" s="1"/>
  <c r="B34" i="49"/>
  <c r="AA25" i="59" l="1"/>
  <c r="X24" i="55" l="1"/>
  <c r="D45" i="55" l="1"/>
  <c r="D46" i="55"/>
  <c r="D47" i="55"/>
  <c r="D48" i="55"/>
  <c r="D49" i="55"/>
  <c r="D50" i="55"/>
  <c r="D51" i="55"/>
  <c r="D52" i="55"/>
  <c r="D53" i="55"/>
  <c r="D54" i="55"/>
  <c r="D55" i="55"/>
  <c r="D56" i="55"/>
  <c r="D57" i="55"/>
  <c r="D58" i="55"/>
  <c r="D59" i="55"/>
  <c r="D60" i="55"/>
  <c r="D61" i="55"/>
  <c r="D62" i="55"/>
  <c r="D63" i="55"/>
  <c r="D64" i="55"/>
  <c r="D65" i="55"/>
  <c r="D66" i="55"/>
  <c r="D67" i="55"/>
  <c r="D68" i="55"/>
  <c r="D69" i="55"/>
  <c r="D70" i="55"/>
  <c r="D71" i="55"/>
  <c r="D72" i="55"/>
  <c r="D73" i="55"/>
  <c r="D74" i="55"/>
  <c r="D75" i="55"/>
  <c r="D44" i="55"/>
  <c r="N34" i="61" l="1"/>
  <c r="N35" i="61"/>
  <c r="N36" i="61"/>
  <c r="N37" i="61"/>
  <c r="N38" i="61"/>
  <c r="N39" i="61"/>
  <c r="N40" i="61"/>
  <c r="N33" i="61"/>
  <c r="I45" i="61"/>
  <c r="I46" i="61"/>
  <c r="I47" i="61"/>
  <c r="I48" i="61"/>
  <c r="I49" i="61"/>
  <c r="I50" i="61"/>
  <c r="I51" i="61"/>
  <c r="I52" i="61"/>
  <c r="I53" i="61"/>
  <c r="I54" i="61"/>
  <c r="I55" i="61"/>
  <c r="I56" i="61"/>
  <c r="I57" i="61"/>
  <c r="I58" i="61"/>
  <c r="I59" i="61"/>
  <c r="I60" i="61"/>
  <c r="I61" i="61"/>
  <c r="I62" i="61"/>
  <c r="I63" i="61"/>
  <c r="I64" i="61"/>
  <c r="I65" i="61"/>
  <c r="I66" i="61"/>
  <c r="I67" i="61"/>
  <c r="I68" i="61"/>
  <c r="I69" i="61"/>
  <c r="I70" i="61"/>
  <c r="I71" i="61"/>
  <c r="I72" i="61"/>
  <c r="I73" i="61"/>
  <c r="I74" i="61"/>
  <c r="I75" i="61"/>
  <c r="I34" i="61"/>
  <c r="I35" i="61"/>
  <c r="I36" i="61"/>
  <c r="I37" i="61"/>
  <c r="I38" i="61"/>
  <c r="I39" i="61"/>
  <c r="I40" i="61"/>
  <c r="I33" i="61"/>
  <c r="N45" i="45"/>
  <c r="N46" i="45"/>
  <c r="N47" i="45"/>
  <c r="N48" i="45"/>
  <c r="N49" i="45"/>
  <c r="N50" i="45"/>
  <c r="N51" i="45"/>
  <c r="N52" i="45"/>
  <c r="N53" i="45"/>
  <c r="N54" i="45"/>
  <c r="N55" i="45"/>
  <c r="N56" i="45"/>
  <c r="N57" i="45"/>
  <c r="N58" i="45"/>
  <c r="N59" i="45"/>
  <c r="N60" i="45"/>
  <c r="N61" i="45"/>
  <c r="N62" i="45"/>
  <c r="N63" i="45"/>
  <c r="N64" i="45"/>
  <c r="N65" i="45"/>
  <c r="N66" i="45"/>
  <c r="N67" i="45"/>
  <c r="N68" i="45"/>
  <c r="N69" i="45"/>
  <c r="N70" i="45"/>
  <c r="N71" i="45"/>
  <c r="N72" i="45"/>
  <c r="N73" i="45"/>
  <c r="N74" i="45"/>
  <c r="N75" i="45"/>
  <c r="N34" i="45"/>
  <c r="N35" i="45"/>
  <c r="N36" i="45"/>
  <c r="N37" i="45"/>
  <c r="N38" i="45"/>
  <c r="N39" i="45"/>
  <c r="N40" i="45"/>
  <c r="N15" i="45"/>
  <c r="N16" i="45"/>
  <c r="N17" i="45"/>
  <c r="N18" i="45"/>
  <c r="N19" i="45"/>
  <c r="N20" i="45"/>
  <c r="N21" i="45"/>
  <c r="N22" i="45"/>
  <c r="N23" i="45"/>
  <c r="N24" i="45"/>
  <c r="I45" i="45"/>
  <c r="I46" i="45"/>
  <c r="I47" i="45"/>
  <c r="I48" i="45"/>
  <c r="I49" i="45"/>
  <c r="I50" i="45"/>
  <c r="I51" i="45"/>
  <c r="I52" i="45"/>
  <c r="I53" i="45"/>
  <c r="I54" i="45"/>
  <c r="I55" i="45"/>
  <c r="I56" i="45"/>
  <c r="I57" i="45"/>
  <c r="I58" i="45"/>
  <c r="I59" i="45"/>
  <c r="I60" i="45"/>
  <c r="I61" i="45"/>
  <c r="I62" i="45"/>
  <c r="I63" i="45"/>
  <c r="I64" i="45"/>
  <c r="I65" i="45"/>
  <c r="I66" i="45"/>
  <c r="I67" i="45"/>
  <c r="I68" i="45"/>
  <c r="I69" i="45"/>
  <c r="I70" i="45"/>
  <c r="I71" i="45"/>
  <c r="I72" i="45"/>
  <c r="I73" i="45"/>
  <c r="I74" i="45"/>
  <c r="I75" i="45"/>
  <c r="I34" i="45"/>
  <c r="I35" i="45"/>
  <c r="I36" i="45"/>
  <c r="I37" i="45"/>
  <c r="I38" i="45"/>
  <c r="I39" i="45"/>
  <c r="I40" i="45"/>
  <c r="I15" i="45"/>
  <c r="I16" i="45"/>
  <c r="I17" i="45"/>
  <c r="I18" i="45"/>
  <c r="I19" i="45"/>
  <c r="I20" i="45"/>
  <c r="I21" i="45"/>
  <c r="I22" i="45"/>
  <c r="I23" i="45"/>
  <c r="I24" i="45"/>
  <c r="I14" i="45"/>
  <c r="D45" i="45"/>
  <c r="D46" i="45"/>
  <c r="D47" i="45"/>
  <c r="D48" i="45"/>
  <c r="D49" i="45"/>
  <c r="D50" i="45"/>
  <c r="D51" i="45"/>
  <c r="D52" i="45"/>
  <c r="D53" i="45"/>
  <c r="D54" i="45"/>
  <c r="D55" i="45"/>
  <c r="D56" i="45"/>
  <c r="D57" i="45"/>
  <c r="D58" i="45"/>
  <c r="D59" i="45"/>
  <c r="D60" i="45"/>
  <c r="D61" i="45"/>
  <c r="D62" i="45"/>
  <c r="D63" i="45"/>
  <c r="D64" i="45"/>
  <c r="D65" i="45"/>
  <c r="D66" i="45"/>
  <c r="D67" i="45"/>
  <c r="D68" i="45"/>
  <c r="D69" i="45"/>
  <c r="D70" i="45"/>
  <c r="D71" i="45"/>
  <c r="D72" i="45"/>
  <c r="D73" i="45"/>
  <c r="D74" i="45"/>
  <c r="D75" i="45"/>
  <c r="D34" i="45"/>
  <c r="D35" i="45"/>
  <c r="D36" i="45"/>
  <c r="D37" i="45"/>
  <c r="D38" i="45"/>
  <c r="D39" i="45"/>
  <c r="D40" i="45"/>
  <c r="D15" i="45"/>
  <c r="D16" i="45"/>
  <c r="D17" i="45"/>
  <c r="D18" i="45"/>
  <c r="D19" i="45"/>
  <c r="D20" i="45"/>
  <c r="D21" i="45"/>
  <c r="D22" i="45"/>
  <c r="D23" i="45"/>
  <c r="D24" i="45"/>
  <c r="D45" i="61"/>
  <c r="D46" i="61"/>
  <c r="D47" i="61"/>
  <c r="D48" i="61"/>
  <c r="D49" i="61"/>
  <c r="D50" i="61"/>
  <c r="D51" i="61"/>
  <c r="D52" i="61"/>
  <c r="D53" i="61"/>
  <c r="D54" i="61"/>
  <c r="D55" i="61"/>
  <c r="D56" i="61"/>
  <c r="D57" i="61"/>
  <c r="D58" i="61"/>
  <c r="D59" i="61"/>
  <c r="D60" i="61"/>
  <c r="D61" i="61"/>
  <c r="D62" i="61"/>
  <c r="D63" i="61"/>
  <c r="D64" i="61"/>
  <c r="D65" i="61"/>
  <c r="D66" i="61"/>
  <c r="D67" i="61"/>
  <c r="D68" i="61"/>
  <c r="D69" i="61"/>
  <c r="D70" i="61"/>
  <c r="D71" i="61"/>
  <c r="D72" i="61"/>
  <c r="D73" i="61"/>
  <c r="D74" i="61"/>
  <c r="D75" i="61"/>
  <c r="D34" i="61"/>
  <c r="D35" i="61"/>
  <c r="D36" i="61"/>
  <c r="D37" i="61"/>
  <c r="D38" i="61"/>
  <c r="D39" i="61"/>
  <c r="D40" i="61"/>
  <c r="D15" i="61"/>
  <c r="D16" i="61"/>
  <c r="D17" i="61"/>
  <c r="D18" i="61"/>
  <c r="D19" i="61"/>
  <c r="D20" i="61"/>
  <c r="D21" i="61"/>
  <c r="D22" i="61"/>
  <c r="D23" i="61"/>
  <c r="D24" i="61"/>
  <c r="N23" i="65" l="1"/>
  <c r="I23" i="65"/>
  <c r="D23" i="65"/>
  <c r="W61" i="53" l="1"/>
  <c r="AB61" i="53" s="1"/>
  <c r="W56" i="53"/>
  <c r="W53" i="53"/>
  <c r="AB53" i="53" s="1"/>
  <c r="W62" i="53"/>
  <c r="W45" i="53"/>
  <c r="W70" i="53"/>
  <c r="W46" i="53"/>
  <c r="W47" i="53"/>
  <c r="W48" i="53"/>
  <c r="W49" i="53"/>
  <c r="AB49" i="53" s="1"/>
  <c r="W50" i="53"/>
  <c r="W51" i="53"/>
  <c r="W52" i="53"/>
  <c r="W54" i="53"/>
  <c r="W55" i="53"/>
  <c r="W57" i="53"/>
  <c r="W58" i="53"/>
  <c r="W59" i="53"/>
  <c r="W60" i="53"/>
  <c r="W63" i="53"/>
  <c r="W64" i="53"/>
  <c r="W65" i="53"/>
  <c r="W66" i="53"/>
  <c r="W67" i="53"/>
  <c r="W68" i="53"/>
  <c r="W69" i="53"/>
  <c r="W71" i="53"/>
  <c r="W72" i="53"/>
  <c r="W73" i="53"/>
  <c r="W74" i="53"/>
  <c r="W75" i="53"/>
  <c r="W44" i="53"/>
  <c r="AC33" i="53" l="1"/>
  <c r="AB37" i="53"/>
  <c r="W34" i="53"/>
  <c r="W35" i="53"/>
  <c r="W36" i="53"/>
  <c r="W37" i="53"/>
  <c r="W38" i="53"/>
  <c r="W39" i="53"/>
  <c r="AB39" i="53" s="1"/>
  <c r="W40" i="53"/>
  <c r="AB40" i="53" s="1"/>
  <c r="W33" i="53"/>
  <c r="W33" i="58"/>
  <c r="V33" i="53"/>
  <c r="AB34" i="53"/>
  <c r="J13" i="27"/>
  <c r="V18" i="53"/>
  <c r="N18" i="53"/>
  <c r="S15" i="59" l="1"/>
  <c r="T15" i="59" s="1"/>
  <c r="S16" i="59"/>
  <c r="S17" i="59"/>
  <c r="S18" i="59"/>
  <c r="S19" i="59"/>
  <c r="S20" i="59"/>
  <c r="S21" i="59"/>
  <c r="S22" i="59"/>
  <c r="S23" i="59"/>
  <c r="S24" i="59"/>
  <c r="S14" i="59"/>
  <c r="T14" i="59"/>
  <c r="J14" i="59"/>
  <c r="AC55" i="48" l="1"/>
  <c r="AA25" i="48" l="1"/>
  <c r="AB15" i="48"/>
  <c r="AB16" i="48"/>
  <c r="AC16" i="48" s="1"/>
  <c r="AB20" i="48"/>
  <c r="AC20" i="48"/>
  <c r="Y18" i="48"/>
  <c r="Y20" i="48"/>
  <c r="X18" i="48"/>
  <c r="X20" i="48"/>
  <c r="V22" i="48"/>
  <c r="W24" i="48"/>
  <c r="AB24" i="48" s="1"/>
  <c r="AC24" i="48" s="1"/>
  <c r="V24" i="48"/>
  <c r="W23" i="48"/>
  <c r="X23" i="48" s="1"/>
  <c r="Y23" i="48" s="1"/>
  <c r="V23" i="48"/>
  <c r="W22" i="48"/>
  <c r="AB22" i="48" s="1"/>
  <c r="AC22" i="48" s="1"/>
  <c r="W21" i="48"/>
  <c r="X21" i="48" s="1"/>
  <c r="Y21" i="48" s="1"/>
  <c r="V21" i="48"/>
  <c r="W20" i="48"/>
  <c r="V20" i="48"/>
  <c r="W18" i="48"/>
  <c r="AB18" i="48" s="1"/>
  <c r="AC18" i="48" s="1"/>
  <c r="V18" i="48"/>
  <c r="W17" i="48"/>
  <c r="AB17" i="48" s="1"/>
  <c r="AC17" i="48" s="1"/>
  <c r="V17" i="48"/>
  <c r="W16" i="48"/>
  <c r="X16" i="48" s="1"/>
  <c r="Y16" i="48" s="1"/>
  <c r="V16" i="48"/>
  <c r="W15" i="48"/>
  <c r="X15" i="48" s="1"/>
  <c r="V15" i="48"/>
  <c r="W14" i="48"/>
  <c r="V14" i="48"/>
  <c r="T15" i="48"/>
  <c r="T16" i="48"/>
  <c r="T17" i="48"/>
  <c r="T18" i="48"/>
  <c r="T19" i="48"/>
  <c r="T20" i="48"/>
  <c r="T21" i="48"/>
  <c r="T22" i="48"/>
  <c r="S15" i="48"/>
  <c r="S16" i="48"/>
  <c r="S17" i="48"/>
  <c r="S18" i="48"/>
  <c r="S19" i="48"/>
  <c r="S20" i="48"/>
  <c r="S21" i="48"/>
  <c r="S22" i="48"/>
  <c r="S23" i="48"/>
  <c r="T23" i="48" s="1"/>
  <c r="S24" i="48"/>
  <c r="T24" i="48" s="1"/>
  <c r="O16" i="48"/>
  <c r="O17" i="48"/>
  <c r="O18" i="48"/>
  <c r="O19" i="48"/>
  <c r="O20" i="48"/>
  <c r="O21" i="48"/>
  <c r="O22" i="48"/>
  <c r="O23" i="48"/>
  <c r="N15" i="48"/>
  <c r="N16" i="48"/>
  <c r="N17" i="48"/>
  <c r="N18" i="48"/>
  <c r="N19" i="48"/>
  <c r="N20" i="48"/>
  <c r="N21" i="48"/>
  <c r="N22" i="48"/>
  <c r="N23" i="48"/>
  <c r="N24" i="48"/>
  <c r="O24" i="48" s="1"/>
  <c r="D24" i="48"/>
  <c r="E24" i="48" s="1"/>
  <c r="I24" i="48"/>
  <c r="J24" i="48" s="1"/>
  <c r="AB21" i="48" l="1"/>
  <c r="AC21" i="48" s="1"/>
  <c r="X24" i="48"/>
  <c r="Y24" i="48" s="1"/>
  <c r="AB23" i="48"/>
  <c r="AC23" i="48" s="1"/>
  <c r="X17" i="48"/>
  <c r="Y17" i="48" s="1"/>
  <c r="X22" i="48"/>
  <c r="Y22" i="48" s="1"/>
  <c r="W45" i="52" l="1"/>
  <c r="W46" i="52"/>
  <c r="W47" i="52"/>
  <c r="W48" i="52"/>
  <c r="W49" i="52"/>
  <c r="W50" i="52"/>
  <c r="W51" i="52"/>
  <c r="AB51" i="52" s="1"/>
  <c r="AC51" i="52" s="1"/>
  <c r="W52" i="52"/>
  <c r="W53" i="52"/>
  <c r="W54" i="52"/>
  <c r="W55" i="52"/>
  <c r="W56" i="52"/>
  <c r="W57" i="52"/>
  <c r="W58" i="52"/>
  <c r="W59" i="52"/>
  <c r="W60" i="52"/>
  <c r="W61" i="52"/>
  <c r="W62" i="52"/>
  <c r="W63" i="52"/>
  <c r="W64" i="52"/>
  <c r="W65" i="52"/>
  <c r="W66" i="52"/>
  <c r="W67" i="52"/>
  <c r="W68" i="52"/>
  <c r="W69" i="52"/>
  <c r="W70" i="52"/>
  <c r="W71" i="52"/>
  <c r="W72" i="52"/>
  <c r="W73" i="52"/>
  <c r="W74" i="52"/>
  <c r="W75" i="52"/>
  <c r="W44" i="52"/>
  <c r="X15" i="52"/>
  <c r="X16" i="52"/>
  <c r="X17" i="52"/>
  <c r="X18" i="52"/>
  <c r="X20" i="52"/>
  <c r="X21" i="52"/>
  <c r="X22" i="52"/>
  <c r="X23" i="52"/>
  <c r="X24" i="52"/>
  <c r="X14" i="52"/>
  <c r="D44" i="52"/>
  <c r="D49" i="52"/>
  <c r="N41" i="61" l="1"/>
  <c r="V46" i="45" l="1"/>
  <c r="V75" i="45"/>
  <c r="V74" i="45"/>
  <c r="V73" i="45"/>
  <c r="V72" i="45"/>
  <c r="V71" i="45"/>
  <c r="V70" i="45"/>
  <c r="V69" i="45"/>
  <c r="V68" i="45"/>
  <c r="V67" i="45"/>
  <c r="V66" i="45"/>
  <c r="V65" i="45"/>
  <c r="V64" i="45"/>
  <c r="V63" i="45"/>
  <c r="V62" i="45"/>
  <c r="V61" i="45"/>
  <c r="V60" i="45"/>
  <c r="V59" i="45"/>
  <c r="V58" i="45"/>
  <c r="V57" i="45"/>
  <c r="V56" i="45"/>
  <c r="V55" i="45"/>
  <c r="V54" i="45"/>
  <c r="V53" i="45"/>
  <c r="V52" i="45"/>
  <c r="V51" i="45"/>
  <c r="V50" i="45"/>
  <c r="V49" i="45"/>
  <c r="V48" i="45"/>
  <c r="V47" i="45"/>
  <c r="V45" i="45"/>
  <c r="V44" i="45"/>
  <c r="AA76" i="61" l="1"/>
  <c r="AC55" i="45" l="1"/>
  <c r="W45" i="55" l="1"/>
  <c r="W44" i="55"/>
  <c r="V45" i="55"/>
  <c r="V44" i="55"/>
  <c r="V14" i="55"/>
  <c r="X44" i="55" l="1"/>
  <c r="AB44" i="55"/>
  <c r="X45" i="55"/>
  <c r="AB45" i="55"/>
  <c r="O50" i="55"/>
  <c r="O51" i="55"/>
  <c r="O52" i="55"/>
  <c r="O53" i="55"/>
  <c r="O54" i="55"/>
  <c r="O55" i="55"/>
  <c r="O56" i="55"/>
  <c r="O57" i="55"/>
  <c r="O58" i="55"/>
  <c r="O59" i="55"/>
  <c r="O60" i="55"/>
  <c r="O70" i="55"/>
  <c r="O71" i="55"/>
  <c r="O72" i="55"/>
  <c r="O73" i="55"/>
  <c r="O74" i="55"/>
  <c r="O75" i="55"/>
  <c r="N45" i="55"/>
  <c r="O45" i="55" s="1"/>
  <c r="N46" i="55"/>
  <c r="O46" i="55" s="1"/>
  <c r="N47" i="55"/>
  <c r="O47" i="55" s="1"/>
  <c r="N48" i="55"/>
  <c r="O48" i="55" s="1"/>
  <c r="N49" i="55"/>
  <c r="O49" i="55" s="1"/>
  <c r="N50" i="55"/>
  <c r="N51" i="55"/>
  <c r="N52" i="55"/>
  <c r="N53" i="55"/>
  <c r="N54" i="55"/>
  <c r="N55" i="55"/>
  <c r="N56" i="55"/>
  <c r="N57" i="55"/>
  <c r="N58" i="55"/>
  <c r="N59" i="55"/>
  <c r="N60" i="55"/>
  <c r="N61" i="55"/>
  <c r="O61" i="55" s="1"/>
  <c r="N62" i="55"/>
  <c r="O62" i="55" s="1"/>
  <c r="N63" i="55"/>
  <c r="O63" i="55" s="1"/>
  <c r="N64" i="55"/>
  <c r="O64" i="55" s="1"/>
  <c r="N65" i="55"/>
  <c r="O65" i="55" s="1"/>
  <c r="N66" i="55"/>
  <c r="O66" i="55" s="1"/>
  <c r="N67" i="55"/>
  <c r="O67" i="55" s="1"/>
  <c r="N68" i="55"/>
  <c r="O68" i="55" s="1"/>
  <c r="N69" i="55"/>
  <c r="O69" i="55" s="1"/>
  <c r="N70" i="55"/>
  <c r="N71" i="55"/>
  <c r="N72" i="55"/>
  <c r="N73" i="55"/>
  <c r="N74" i="55"/>
  <c r="N75" i="55"/>
  <c r="J48" i="55"/>
  <c r="J49" i="55"/>
  <c r="J50" i="55"/>
  <c r="J51" i="55"/>
  <c r="J52" i="55"/>
  <c r="J53" i="55"/>
  <c r="J54" i="55"/>
  <c r="J55" i="55"/>
  <c r="J56" i="55"/>
  <c r="J57" i="55"/>
  <c r="J58" i="55"/>
  <c r="J68" i="55"/>
  <c r="J69" i="55"/>
  <c r="J70" i="55"/>
  <c r="J71" i="55"/>
  <c r="J72" i="55"/>
  <c r="J73" i="55"/>
  <c r="J74" i="55"/>
  <c r="J75" i="55"/>
  <c r="I45" i="55"/>
  <c r="J45" i="55" s="1"/>
  <c r="I46" i="55"/>
  <c r="J46" i="55" s="1"/>
  <c r="I47" i="55"/>
  <c r="J47" i="55" s="1"/>
  <c r="I48" i="55"/>
  <c r="I49" i="55"/>
  <c r="I50" i="55"/>
  <c r="I51" i="55"/>
  <c r="I52" i="55"/>
  <c r="I53" i="55"/>
  <c r="I54" i="55"/>
  <c r="I55" i="55"/>
  <c r="I56" i="55"/>
  <c r="I57" i="55"/>
  <c r="I58" i="55"/>
  <c r="I59" i="55"/>
  <c r="J59" i="55" s="1"/>
  <c r="I60" i="55"/>
  <c r="J60" i="55" s="1"/>
  <c r="I61" i="55"/>
  <c r="J61" i="55" s="1"/>
  <c r="I62" i="55"/>
  <c r="J62" i="55" s="1"/>
  <c r="I63" i="55"/>
  <c r="J63" i="55" s="1"/>
  <c r="I64" i="55"/>
  <c r="J64" i="55" s="1"/>
  <c r="I65" i="55"/>
  <c r="J65" i="55" s="1"/>
  <c r="I66" i="55"/>
  <c r="J66" i="55" s="1"/>
  <c r="I67" i="55"/>
  <c r="J67" i="55" s="1"/>
  <c r="I68" i="55"/>
  <c r="I69" i="55"/>
  <c r="I70" i="55"/>
  <c r="I71" i="55"/>
  <c r="I72" i="55"/>
  <c r="I73" i="55"/>
  <c r="I74" i="55"/>
  <c r="I75" i="55"/>
  <c r="I44" i="55"/>
  <c r="I24" i="55"/>
  <c r="J24" i="55" s="1"/>
  <c r="E24" i="55"/>
  <c r="D15" i="55"/>
  <c r="D16" i="55"/>
  <c r="D17" i="55"/>
  <c r="D18" i="55"/>
  <c r="D19" i="55"/>
  <c r="D20" i="55"/>
  <c r="D21" i="55"/>
  <c r="D22" i="55"/>
  <c r="D23" i="55"/>
  <c r="D24" i="55"/>
  <c r="D14" i="55"/>
  <c r="H14" i="40" l="1"/>
  <c r="AB24" i="55" l="1"/>
  <c r="AC24" i="55" s="1"/>
  <c r="V14" i="45" l="1"/>
  <c r="V58" i="53" l="1"/>
  <c r="V48" i="53"/>
  <c r="AB54" i="53"/>
  <c r="AC54" i="53" s="1"/>
  <c r="AB51" i="53"/>
  <c r="AC51" i="53"/>
  <c r="W18" i="53"/>
  <c r="AB18" i="53" s="1"/>
  <c r="V14" i="53"/>
  <c r="W24" i="53"/>
  <c r="W23" i="53"/>
  <c r="W22" i="53"/>
  <c r="W21" i="53"/>
  <c r="W20" i="53"/>
  <c r="W19" i="53"/>
  <c r="AB19" i="53" s="1"/>
  <c r="W16" i="53"/>
  <c r="W15" i="53"/>
  <c r="W14" i="53"/>
  <c r="V17" i="53"/>
  <c r="V16" i="53"/>
  <c r="V15" i="53"/>
  <c r="V19" i="53"/>
  <c r="V20" i="53"/>
  <c r="V21" i="53"/>
  <c r="V22" i="53"/>
  <c r="V23" i="53"/>
  <c r="V24" i="53"/>
  <c r="W17" i="53"/>
  <c r="S19" i="53"/>
  <c r="R52" i="46" l="1"/>
  <c r="AA58" i="46"/>
  <c r="AA33" i="46"/>
  <c r="R25" i="53" l="1"/>
  <c r="Q25" i="53"/>
  <c r="M25" i="53"/>
  <c r="L25" i="53"/>
  <c r="C25" i="53"/>
  <c r="B25" i="53"/>
  <c r="H25" i="53"/>
  <c r="G25" i="53"/>
  <c r="I15" i="53"/>
  <c r="I14" i="53"/>
  <c r="J14" i="53" s="1"/>
  <c r="D15" i="53"/>
  <c r="D16" i="53"/>
  <c r="D17" i="53"/>
  <c r="D18" i="53"/>
  <c r="D19" i="53"/>
  <c r="D20" i="53"/>
  <c r="D21" i="53"/>
  <c r="D22" i="53"/>
  <c r="D23" i="53"/>
  <c r="D24" i="53"/>
  <c r="D14" i="53"/>
  <c r="AA14" i="53"/>
  <c r="X14" i="53"/>
  <c r="N14" i="53"/>
  <c r="O14" i="53" s="1"/>
  <c r="S14" i="53"/>
  <c r="T14" i="53" s="1"/>
  <c r="S15" i="53"/>
  <c r="B27" i="46"/>
  <c r="B19" i="46"/>
  <c r="B33" i="46"/>
  <c r="B14" i="46"/>
  <c r="AB14" i="53" l="1"/>
  <c r="AA14" i="46"/>
  <c r="D25" i="53"/>
  <c r="E14" i="53"/>
  <c r="AC14" i="53"/>
  <c r="Y14" i="53"/>
  <c r="R15" i="46" l="1"/>
  <c r="R16" i="46"/>
  <c r="R17" i="46"/>
  <c r="R18" i="46"/>
  <c r="R19" i="46"/>
  <c r="R20" i="46"/>
  <c r="R21" i="46"/>
  <c r="R22" i="46"/>
  <c r="R23" i="46"/>
  <c r="Q15" i="46"/>
  <c r="Q16" i="46"/>
  <c r="Q17" i="46"/>
  <c r="Q18" i="46"/>
  <c r="Q19" i="46"/>
  <c r="Q20" i="46"/>
  <c r="Q21" i="46"/>
  <c r="Q22" i="46"/>
  <c r="Q23" i="46"/>
  <c r="M15" i="46"/>
  <c r="M16" i="46"/>
  <c r="M17" i="46"/>
  <c r="M18" i="46"/>
  <c r="M19" i="46"/>
  <c r="M20" i="46"/>
  <c r="M21" i="46"/>
  <c r="M22" i="46"/>
  <c r="M23" i="46"/>
  <c r="M24" i="46"/>
  <c r="L15" i="46"/>
  <c r="L16" i="46"/>
  <c r="L17" i="46"/>
  <c r="L18" i="46"/>
  <c r="L19" i="46"/>
  <c r="L20" i="46"/>
  <c r="L21" i="46"/>
  <c r="L22" i="46"/>
  <c r="L23" i="46"/>
  <c r="L24" i="46"/>
  <c r="H15" i="46"/>
  <c r="H16" i="46"/>
  <c r="H17" i="46"/>
  <c r="H18" i="46"/>
  <c r="H19" i="46"/>
  <c r="H21" i="46"/>
  <c r="H22" i="46"/>
  <c r="H23" i="46"/>
  <c r="H24" i="46"/>
  <c r="G15" i="46"/>
  <c r="G16" i="46"/>
  <c r="G17" i="46"/>
  <c r="G18" i="46"/>
  <c r="G19" i="46"/>
  <c r="G20" i="46"/>
  <c r="G21" i="46"/>
  <c r="G22" i="46"/>
  <c r="G23" i="46"/>
  <c r="G24" i="46"/>
  <c r="C19" i="46"/>
  <c r="D19" i="46" s="1"/>
  <c r="E19" i="46" s="1"/>
  <c r="C20" i="46"/>
  <c r="B21" i="46"/>
  <c r="B20" i="46"/>
  <c r="V44" i="52"/>
  <c r="X44" i="52" s="1"/>
  <c r="N20" i="46" l="1"/>
  <c r="O20" i="46" s="1"/>
  <c r="N18" i="46"/>
  <c r="O18" i="46" s="1"/>
  <c r="V19" i="46"/>
  <c r="S21" i="46"/>
  <c r="T21" i="46" s="1"/>
  <c r="V20" i="46"/>
  <c r="I21" i="46"/>
  <c r="S16" i="46"/>
  <c r="T16" i="46" s="1"/>
  <c r="N21" i="46"/>
  <c r="O21" i="46" s="1"/>
  <c r="I23" i="46"/>
  <c r="I15" i="46"/>
  <c r="N19" i="46"/>
  <c r="O19" i="46" s="1"/>
  <c r="S20" i="46"/>
  <c r="T20" i="46" s="1"/>
  <c r="S19" i="46"/>
  <c r="T19" i="46" s="1"/>
  <c r="W20" i="46"/>
  <c r="I20" i="46"/>
  <c r="N16" i="46"/>
  <c r="O16" i="46" s="1"/>
  <c r="I19" i="46"/>
  <c r="N23" i="46"/>
  <c r="O23" i="46" s="1"/>
  <c r="N15" i="46"/>
  <c r="O15" i="46" s="1"/>
  <c r="I16" i="46"/>
  <c r="I18" i="46"/>
  <c r="S23" i="46"/>
  <c r="T23" i="46" s="1"/>
  <c r="N17" i="46"/>
  <c r="O17" i="46" s="1"/>
  <c r="S18" i="46"/>
  <c r="T18" i="46" s="1"/>
  <c r="I17" i="46"/>
  <c r="N22" i="46"/>
  <c r="O22" i="46" s="1"/>
  <c r="S17" i="46"/>
  <c r="T17" i="46" s="1"/>
  <c r="S15" i="46"/>
  <c r="T15" i="46" s="1"/>
  <c r="I22" i="46"/>
  <c r="S22" i="46"/>
  <c r="T22" i="46" s="1"/>
  <c r="V21" i="46"/>
  <c r="D20" i="46"/>
  <c r="E20" i="46" s="1"/>
  <c r="W19" i="46"/>
  <c r="N24" i="46"/>
  <c r="O24" i="46" s="1"/>
  <c r="I24" i="46"/>
  <c r="W44" i="68"/>
  <c r="M25" i="68"/>
  <c r="T81" i="68"/>
  <c r="D45" i="68"/>
  <c r="D46" i="68"/>
  <c r="D47" i="68"/>
  <c r="D48" i="68"/>
  <c r="D49" i="68"/>
  <c r="D50" i="68"/>
  <c r="D51" i="68"/>
  <c r="D52" i="68"/>
  <c r="D53" i="68"/>
  <c r="D54" i="68"/>
  <c r="D55" i="68"/>
  <c r="D56" i="68"/>
  <c r="D57" i="68"/>
  <c r="D58" i="68"/>
  <c r="D59" i="68"/>
  <c r="D60" i="68"/>
  <c r="D61" i="68"/>
  <c r="D62" i="68"/>
  <c r="D63" i="68"/>
  <c r="D64" i="68"/>
  <c r="D65" i="68"/>
  <c r="D66" i="68"/>
  <c r="D67" i="68"/>
  <c r="D68" i="68"/>
  <c r="D69" i="68"/>
  <c r="D70" i="68"/>
  <c r="D71" i="68"/>
  <c r="D72" i="68"/>
  <c r="D73" i="68"/>
  <c r="D74" i="68"/>
  <c r="D75" i="68"/>
  <c r="D44" i="68"/>
  <c r="I34" i="68"/>
  <c r="I35" i="68"/>
  <c r="I36" i="68"/>
  <c r="I37" i="68"/>
  <c r="I38" i="68"/>
  <c r="I39" i="68"/>
  <c r="I40" i="68"/>
  <c r="I33" i="68"/>
  <c r="E34" i="68"/>
  <c r="E35" i="68"/>
  <c r="E36" i="68"/>
  <c r="E37" i="68"/>
  <c r="E38" i="68"/>
  <c r="E33" i="68"/>
  <c r="D39" i="68"/>
  <c r="D40" i="68"/>
  <c r="E40" i="68" s="1"/>
  <c r="I14" i="68"/>
  <c r="D21" i="68"/>
  <c r="D41" i="68" l="1"/>
  <c r="E39" i="68"/>
  <c r="X20" i="46"/>
  <c r="Y20" i="46" s="1"/>
  <c r="X19" i="46"/>
  <c r="Y19" i="46" s="1"/>
  <c r="D76" i="68"/>
  <c r="D78" i="68" l="1"/>
  <c r="W46" i="67"/>
  <c r="W47" i="67"/>
  <c r="W48" i="67"/>
  <c r="W51" i="67"/>
  <c r="W52" i="67"/>
  <c r="W54" i="67"/>
  <c r="W55" i="67"/>
  <c r="W58" i="67"/>
  <c r="W59" i="67"/>
  <c r="W61" i="67"/>
  <c r="W64" i="67"/>
  <c r="W68" i="67"/>
  <c r="W69" i="67"/>
  <c r="W73" i="67"/>
  <c r="W75" i="67"/>
  <c r="W34" i="67"/>
  <c r="W39" i="67"/>
  <c r="V45" i="67"/>
  <c r="V46" i="67"/>
  <c r="V47" i="67"/>
  <c r="V48" i="67"/>
  <c r="V49" i="67"/>
  <c r="V50" i="67"/>
  <c r="V51" i="67"/>
  <c r="V52" i="67"/>
  <c r="V53" i="67"/>
  <c r="V54" i="67"/>
  <c r="V55" i="67"/>
  <c r="V56" i="67"/>
  <c r="V57" i="67"/>
  <c r="V58" i="67"/>
  <c r="V59" i="67"/>
  <c r="V60" i="67"/>
  <c r="V61" i="67"/>
  <c r="V62" i="67"/>
  <c r="V63" i="67"/>
  <c r="V64" i="67"/>
  <c r="V65" i="67"/>
  <c r="V66" i="67"/>
  <c r="V67" i="67"/>
  <c r="V68" i="67"/>
  <c r="V69" i="67"/>
  <c r="V70" i="67"/>
  <c r="V71" i="67"/>
  <c r="V72" i="67"/>
  <c r="V73" i="67"/>
  <c r="V74" i="67"/>
  <c r="V75" i="67"/>
  <c r="V44" i="67"/>
  <c r="V33" i="67"/>
  <c r="V34" i="67"/>
  <c r="V35" i="67"/>
  <c r="V36" i="67"/>
  <c r="V37" i="67"/>
  <c r="V38" i="67"/>
  <c r="V39" i="67"/>
  <c r="V40" i="67"/>
  <c r="AB22" i="67"/>
  <c r="AB23" i="67"/>
  <c r="AB24" i="67"/>
  <c r="W19" i="67"/>
  <c r="AB19" i="67" s="1"/>
  <c r="W15" i="67"/>
  <c r="AB15" i="67" s="1"/>
  <c r="W16" i="67"/>
  <c r="AB16" i="67" s="1"/>
  <c r="W17" i="67"/>
  <c r="AB17" i="67" s="1"/>
  <c r="W18" i="67"/>
  <c r="AB18" i="67" s="1"/>
  <c r="W20" i="67"/>
  <c r="AB20" i="67" s="1"/>
  <c r="W21" i="67"/>
  <c r="AB21" i="67" s="1"/>
  <c r="W22" i="67"/>
  <c r="W23" i="67"/>
  <c r="W24" i="67"/>
  <c r="W14" i="67"/>
  <c r="AB14" i="67" s="1"/>
  <c r="V16" i="67"/>
  <c r="V17" i="67"/>
  <c r="V18" i="67"/>
  <c r="V19" i="67"/>
  <c r="V20" i="67"/>
  <c r="V21" i="67"/>
  <c r="V22" i="67"/>
  <c r="V23" i="67"/>
  <c r="V24" i="67"/>
  <c r="V15" i="67"/>
  <c r="V27" i="67"/>
  <c r="W27" i="67"/>
  <c r="V14" i="67"/>
  <c r="V14" i="65"/>
  <c r="L25" i="67"/>
  <c r="M25" i="67"/>
  <c r="N15" i="67"/>
  <c r="N16" i="67"/>
  <c r="N17" i="67"/>
  <c r="N18" i="67"/>
  <c r="N19" i="67"/>
  <c r="N20" i="67"/>
  <c r="N21" i="67"/>
  <c r="N22" i="67"/>
  <c r="N23" i="67"/>
  <c r="N24" i="67"/>
  <c r="N14" i="67"/>
  <c r="X27" i="67" l="1"/>
  <c r="AB53" i="65" l="1"/>
  <c r="AC53" i="65" s="1"/>
  <c r="AB55" i="65"/>
  <c r="AC55" i="65" s="1"/>
  <c r="AB69" i="65"/>
  <c r="AC69" i="65" s="1"/>
  <c r="AB70" i="65"/>
  <c r="AC70" i="65" s="1"/>
  <c r="AB71" i="65"/>
  <c r="AC71" i="65" s="1"/>
  <c r="W45" i="65"/>
  <c r="X45" i="65" s="1"/>
  <c r="W46" i="65"/>
  <c r="X46" i="65" s="1"/>
  <c r="W47" i="65"/>
  <c r="X47" i="65" s="1"/>
  <c r="W48" i="65"/>
  <c r="AB48" i="65" s="1"/>
  <c r="AC48" i="65" s="1"/>
  <c r="W49" i="65"/>
  <c r="AB49" i="65" s="1"/>
  <c r="AC49" i="65" s="1"/>
  <c r="W50" i="65"/>
  <c r="AB50" i="65" s="1"/>
  <c r="AC50" i="65" s="1"/>
  <c r="W51" i="65"/>
  <c r="W52" i="65"/>
  <c r="W53" i="65"/>
  <c r="W54" i="65"/>
  <c r="AB54" i="65" s="1"/>
  <c r="AC54" i="65" s="1"/>
  <c r="W55" i="65"/>
  <c r="W56" i="65"/>
  <c r="AB56" i="65" s="1"/>
  <c r="AC56" i="65" s="1"/>
  <c r="W57" i="65"/>
  <c r="AB57" i="65" s="1"/>
  <c r="AC57" i="65" s="1"/>
  <c r="W58" i="65"/>
  <c r="AB58" i="65" s="1"/>
  <c r="AC58" i="65" s="1"/>
  <c r="W59" i="65"/>
  <c r="AB59" i="65" s="1"/>
  <c r="AC59" i="65" s="1"/>
  <c r="W60" i="65"/>
  <c r="X60" i="65" s="1"/>
  <c r="W61" i="65"/>
  <c r="X61" i="65" s="1"/>
  <c r="W62" i="65"/>
  <c r="X62" i="65" s="1"/>
  <c r="W63" i="65"/>
  <c r="X63" i="65" s="1"/>
  <c r="W64" i="65"/>
  <c r="AB64" i="65" s="1"/>
  <c r="AC64" i="65" s="1"/>
  <c r="W65" i="65"/>
  <c r="AB65" i="65" s="1"/>
  <c r="AC65" i="65" s="1"/>
  <c r="W66" i="65"/>
  <c r="AB66" i="65" s="1"/>
  <c r="AC66" i="65" s="1"/>
  <c r="W67" i="65"/>
  <c r="X67" i="65" s="1"/>
  <c r="W68" i="65"/>
  <c r="W69" i="65"/>
  <c r="W70" i="65"/>
  <c r="W71" i="65"/>
  <c r="W72" i="65"/>
  <c r="AB72" i="65" s="1"/>
  <c r="AC72" i="65" s="1"/>
  <c r="W73" i="65"/>
  <c r="AB73" i="65" s="1"/>
  <c r="AC73" i="65" s="1"/>
  <c r="W74" i="65"/>
  <c r="AB74" i="65" s="1"/>
  <c r="AC74" i="65" s="1"/>
  <c r="W75" i="65"/>
  <c r="W44" i="65"/>
  <c r="X44" i="65" s="1"/>
  <c r="V45" i="65"/>
  <c r="V46" i="65"/>
  <c r="V47" i="65"/>
  <c r="V48" i="65"/>
  <c r="V49" i="65"/>
  <c r="V50" i="65"/>
  <c r="V51" i="65"/>
  <c r="V52" i="65"/>
  <c r="V53" i="65"/>
  <c r="V54" i="65"/>
  <c r="V55" i="65"/>
  <c r="V56" i="65"/>
  <c r="V57" i="65"/>
  <c r="V58" i="65"/>
  <c r="V59" i="65"/>
  <c r="V60" i="65"/>
  <c r="V61" i="65"/>
  <c r="V62" i="65"/>
  <c r="V63" i="65"/>
  <c r="V64" i="65"/>
  <c r="V65" i="65"/>
  <c r="V66" i="65"/>
  <c r="V67" i="65"/>
  <c r="V68" i="65"/>
  <c r="V69" i="65"/>
  <c r="V70" i="65"/>
  <c r="V71" i="65"/>
  <c r="V72" i="65"/>
  <c r="V73" i="65"/>
  <c r="V74" i="65"/>
  <c r="V75" i="65"/>
  <c r="V44" i="65"/>
  <c r="V33" i="65"/>
  <c r="W34" i="65"/>
  <c r="AB34" i="65" s="1"/>
  <c r="AC34" i="65" s="1"/>
  <c r="W35" i="65"/>
  <c r="AB35" i="65" s="1"/>
  <c r="AC35" i="65" s="1"/>
  <c r="W36" i="65"/>
  <c r="AB36" i="65" s="1"/>
  <c r="AC36" i="65" s="1"/>
  <c r="W37" i="65"/>
  <c r="AB37" i="65" s="1"/>
  <c r="AC37" i="65" s="1"/>
  <c r="W38" i="65"/>
  <c r="AB38" i="65" s="1"/>
  <c r="AC38" i="65" s="1"/>
  <c r="W39" i="65"/>
  <c r="AB39" i="65" s="1"/>
  <c r="AC39" i="65" s="1"/>
  <c r="W40" i="65"/>
  <c r="AB40" i="65" s="1"/>
  <c r="AC40" i="65" s="1"/>
  <c r="V34" i="65"/>
  <c r="V35" i="65"/>
  <c r="V36" i="65"/>
  <c r="V37" i="65"/>
  <c r="V38" i="65"/>
  <c r="V39" i="65"/>
  <c r="V40" i="65"/>
  <c r="W33" i="65"/>
  <c r="AB33" i="65" s="1"/>
  <c r="AC33" i="65" s="1"/>
  <c r="W15" i="65"/>
  <c r="W16" i="65"/>
  <c r="AB16" i="65" s="1"/>
  <c r="AC16" i="65" s="1"/>
  <c r="W17" i="65"/>
  <c r="W18" i="65"/>
  <c r="W19" i="65"/>
  <c r="W20" i="65"/>
  <c r="W21" i="65"/>
  <c r="W22" i="65"/>
  <c r="W23" i="65"/>
  <c r="AB23" i="65" s="1"/>
  <c r="AC23" i="65" s="1"/>
  <c r="W24" i="65"/>
  <c r="AB24" i="65" s="1"/>
  <c r="AC24" i="65" s="1"/>
  <c r="W14" i="65"/>
  <c r="AB14" i="65" s="1"/>
  <c r="AC14" i="65" s="1"/>
  <c r="V15" i="65"/>
  <c r="V16" i="65"/>
  <c r="V17" i="65"/>
  <c r="V18" i="65"/>
  <c r="V19" i="65"/>
  <c r="V20" i="65"/>
  <c r="V21" i="65"/>
  <c r="V22" i="65"/>
  <c r="V23" i="65"/>
  <c r="X23" i="65" s="1"/>
  <c r="V24" i="65"/>
  <c r="M29" i="65"/>
  <c r="L29" i="65"/>
  <c r="C29" i="53"/>
  <c r="B29" i="53"/>
  <c r="S15" i="65"/>
  <c r="S16" i="65"/>
  <c r="S17" i="65"/>
  <c r="S18" i="65"/>
  <c r="S19" i="65"/>
  <c r="S20" i="65"/>
  <c r="S21" i="65"/>
  <c r="S22" i="65"/>
  <c r="S23" i="65"/>
  <c r="S24" i="65"/>
  <c r="Q25" i="65"/>
  <c r="Q29" i="65" s="1"/>
  <c r="J23" i="65"/>
  <c r="C25" i="65"/>
  <c r="C29" i="65" s="1"/>
  <c r="F25" i="65"/>
  <c r="G25" i="65"/>
  <c r="G29" i="65" s="1"/>
  <c r="H25" i="65"/>
  <c r="H29" i="65" s="1"/>
  <c r="K25" i="65"/>
  <c r="L25" i="65"/>
  <c r="M25" i="65"/>
  <c r="P25" i="65"/>
  <c r="R25" i="65"/>
  <c r="R29" i="65" s="1"/>
  <c r="U25" i="65"/>
  <c r="Z25" i="65"/>
  <c r="AA25" i="65"/>
  <c r="AA29" i="65" s="1"/>
  <c r="AD25" i="65"/>
  <c r="B25" i="65"/>
  <c r="B29" i="65" s="1"/>
  <c r="AB62" i="65" l="1"/>
  <c r="AC62" i="65" s="1"/>
  <c r="AB61" i="65"/>
  <c r="AC61" i="65" s="1"/>
  <c r="X75" i="65"/>
  <c r="X55" i="65"/>
  <c r="AB47" i="65"/>
  <c r="AC47" i="65" s="1"/>
  <c r="X54" i="65"/>
  <c r="AB46" i="65"/>
  <c r="AC46" i="65" s="1"/>
  <c r="X53" i="65"/>
  <c r="AB45" i="65"/>
  <c r="AC45" i="65" s="1"/>
  <c r="X52" i="65"/>
  <c r="AB63" i="65"/>
  <c r="AC63" i="65" s="1"/>
  <c r="X59" i="65"/>
  <c r="X71" i="65"/>
  <c r="X51" i="65"/>
  <c r="X70" i="65"/>
  <c r="X58" i="65"/>
  <c r="X69" i="65"/>
  <c r="X68" i="65"/>
  <c r="X74" i="65"/>
  <c r="X66" i="65"/>
  <c r="X50" i="65"/>
  <c r="X73" i="65"/>
  <c r="X65" i="65"/>
  <c r="X57" i="65"/>
  <c r="X49" i="65"/>
  <c r="X14" i="65"/>
  <c r="X72" i="65"/>
  <c r="X64" i="65"/>
  <c r="X56" i="65"/>
  <c r="X48" i="65"/>
  <c r="AB44" i="65"/>
  <c r="AC44" i="65" s="1"/>
  <c r="AB68" i="65"/>
  <c r="AC68" i="65" s="1"/>
  <c r="AB60" i="65"/>
  <c r="AC60" i="65" s="1"/>
  <c r="AB52" i="65"/>
  <c r="AC52" i="65" s="1"/>
  <c r="V25" i="65"/>
  <c r="AB75" i="65"/>
  <c r="AC75" i="65" s="1"/>
  <c r="AB67" i="65"/>
  <c r="AC67" i="65" s="1"/>
  <c r="AB51" i="65"/>
  <c r="AC51" i="65" s="1"/>
  <c r="AA45" i="46" l="1"/>
  <c r="AA46" i="46"/>
  <c r="AA47" i="46"/>
  <c r="AA48" i="46"/>
  <c r="AA49" i="46"/>
  <c r="AA50" i="46"/>
  <c r="AA51" i="46"/>
  <c r="AA52" i="46"/>
  <c r="AA53" i="46"/>
  <c r="AA54" i="46"/>
  <c r="AA55" i="46"/>
  <c r="AA56" i="46"/>
  <c r="AA57" i="46"/>
  <c r="AA59" i="46"/>
  <c r="AA60" i="46"/>
  <c r="AA61" i="46"/>
  <c r="AA62" i="46"/>
  <c r="AA63" i="46"/>
  <c r="AA64" i="46"/>
  <c r="AA65" i="46"/>
  <c r="AA66" i="46"/>
  <c r="AA67" i="46"/>
  <c r="AA68" i="46"/>
  <c r="AA69" i="46"/>
  <c r="AA70" i="46"/>
  <c r="AA71" i="46"/>
  <c r="AA72" i="46"/>
  <c r="AA73" i="46"/>
  <c r="AA74" i="46"/>
  <c r="AA75" i="53"/>
  <c r="AA75" i="46" s="1"/>
  <c r="AA44" i="53"/>
  <c r="AA16" i="53"/>
  <c r="AA17" i="53"/>
  <c r="AA19" i="46"/>
  <c r="AB19" i="46" s="1"/>
  <c r="AC19" i="46" s="1"/>
  <c r="AA20" i="53"/>
  <c r="AA21" i="53"/>
  <c r="AA22" i="53"/>
  <c r="AA23" i="53"/>
  <c r="AA24" i="53"/>
  <c r="AA15" i="53"/>
  <c r="AA35" i="46"/>
  <c r="AA36" i="46"/>
  <c r="AA37" i="46"/>
  <c r="AA38" i="46"/>
  <c r="AA39" i="46"/>
  <c r="AA40" i="46"/>
  <c r="X15" i="53"/>
  <c r="N45" i="53"/>
  <c r="N46" i="53"/>
  <c r="N47" i="53"/>
  <c r="N48" i="53"/>
  <c r="N49" i="53"/>
  <c r="N50" i="53"/>
  <c r="N51" i="53"/>
  <c r="N52" i="53"/>
  <c r="N53" i="53"/>
  <c r="N54" i="53"/>
  <c r="N55" i="53"/>
  <c r="N56" i="53"/>
  <c r="N57" i="53"/>
  <c r="N58" i="53"/>
  <c r="N59" i="53"/>
  <c r="N60" i="53"/>
  <c r="N61" i="53"/>
  <c r="N62" i="53"/>
  <c r="N63" i="53"/>
  <c r="N64" i="53"/>
  <c r="N65" i="53"/>
  <c r="O65" i="53" s="1"/>
  <c r="N66" i="53"/>
  <c r="N67" i="53"/>
  <c r="N68" i="53"/>
  <c r="N69" i="53"/>
  <c r="N70" i="53"/>
  <c r="N71" i="53"/>
  <c r="N72" i="53"/>
  <c r="N73" i="53"/>
  <c r="N74" i="53"/>
  <c r="O74" i="53" s="1"/>
  <c r="N75" i="53"/>
  <c r="N44" i="53"/>
  <c r="N33" i="53"/>
  <c r="N17" i="53"/>
  <c r="AA22" i="46" l="1"/>
  <c r="AB22" i="53"/>
  <c r="AA21" i="46"/>
  <c r="AB21" i="53"/>
  <c r="AA20" i="46"/>
  <c r="AB20" i="46" s="1"/>
  <c r="AC20" i="46" s="1"/>
  <c r="AB20" i="53"/>
  <c r="AA17" i="46"/>
  <c r="AB17" i="53"/>
  <c r="AA16" i="46"/>
  <c r="AB16" i="53"/>
  <c r="AA15" i="46"/>
  <c r="AB15" i="53"/>
  <c r="AA24" i="46"/>
  <c r="AB24" i="53"/>
  <c r="AA23" i="46"/>
  <c r="AB23" i="53"/>
  <c r="AB44" i="53"/>
  <c r="AA34" i="46"/>
  <c r="AA41" i="53"/>
  <c r="AA25" i="53"/>
  <c r="AA18" i="46"/>
  <c r="W18" i="58"/>
  <c r="W15" i="58"/>
  <c r="AB15" i="58" s="1"/>
  <c r="W16" i="58"/>
  <c r="W17" i="58"/>
  <c r="W19" i="58"/>
  <c r="W20" i="58"/>
  <c r="W21" i="58"/>
  <c r="W22" i="58"/>
  <c r="W23" i="58"/>
  <c r="W24" i="58"/>
  <c r="W14" i="58"/>
  <c r="AB14" i="58" s="1"/>
  <c r="V68" i="58"/>
  <c r="V45" i="58"/>
  <c r="V46" i="58"/>
  <c r="V47" i="58"/>
  <c r="V48" i="58"/>
  <c r="V49" i="58"/>
  <c r="V50" i="58"/>
  <c r="V51" i="58"/>
  <c r="V52" i="58"/>
  <c r="V53" i="58"/>
  <c r="V54" i="58"/>
  <c r="V55" i="58"/>
  <c r="V56" i="58"/>
  <c r="V57" i="58"/>
  <c r="V58" i="58"/>
  <c r="V59" i="58"/>
  <c r="V60" i="58"/>
  <c r="V61" i="58"/>
  <c r="V62" i="58"/>
  <c r="V63" i="58"/>
  <c r="V64" i="58"/>
  <c r="V65" i="58"/>
  <c r="V66" i="58"/>
  <c r="V67" i="58"/>
  <c r="V69" i="58"/>
  <c r="V70" i="58"/>
  <c r="V71" i="58"/>
  <c r="V72" i="58"/>
  <c r="V73" i="58"/>
  <c r="V74" i="58"/>
  <c r="V75" i="58"/>
  <c r="V44" i="58"/>
  <c r="V34" i="58"/>
  <c r="V35" i="58"/>
  <c r="V36" i="58"/>
  <c r="V37" i="58"/>
  <c r="V38" i="58"/>
  <c r="V39" i="58"/>
  <c r="V40" i="58"/>
  <c r="V33" i="58"/>
  <c r="V14" i="58"/>
  <c r="V18" i="58"/>
  <c r="V15" i="58"/>
  <c r="V16" i="58"/>
  <c r="V17" i="58"/>
  <c r="V19" i="58"/>
  <c r="V20" i="58"/>
  <c r="V21" i="58"/>
  <c r="V22" i="58"/>
  <c r="V23" i="58"/>
  <c r="V24" i="58"/>
  <c r="V14" i="59"/>
  <c r="AB25" i="53" l="1"/>
  <c r="W16" i="59"/>
  <c r="X16" i="59" s="1"/>
  <c r="W17" i="55"/>
  <c r="W14" i="61"/>
  <c r="W66" i="45"/>
  <c r="X66" i="45" s="1"/>
  <c r="Y66" i="45" s="1"/>
  <c r="V35" i="45"/>
  <c r="W45" i="59"/>
  <c r="W46" i="59"/>
  <c r="W47" i="59"/>
  <c r="W48" i="59"/>
  <c r="W49" i="59"/>
  <c r="W50" i="59"/>
  <c r="W51" i="59"/>
  <c r="W52" i="59"/>
  <c r="W53" i="59"/>
  <c r="W54" i="59"/>
  <c r="W55" i="59"/>
  <c r="W56" i="59"/>
  <c r="W57" i="59"/>
  <c r="W58" i="59"/>
  <c r="W59" i="59"/>
  <c r="W60" i="59"/>
  <c r="W61" i="59"/>
  <c r="W62" i="59"/>
  <c r="W63" i="59"/>
  <c r="W64" i="59"/>
  <c r="W65" i="59"/>
  <c r="W66" i="59"/>
  <c r="W67" i="59"/>
  <c r="W68" i="59"/>
  <c r="W69" i="59"/>
  <c r="W70" i="59"/>
  <c r="W71" i="59"/>
  <c r="W72" i="59"/>
  <c r="W73" i="59"/>
  <c r="W74" i="59"/>
  <c r="W75" i="59"/>
  <c r="W44" i="59"/>
  <c r="W33" i="59"/>
  <c r="V45" i="59"/>
  <c r="V46" i="59"/>
  <c r="V47" i="59"/>
  <c r="V48" i="59"/>
  <c r="V49" i="59"/>
  <c r="V50" i="59"/>
  <c r="V51" i="59"/>
  <c r="V52" i="59"/>
  <c r="V53" i="59"/>
  <c r="V54" i="59"/>
  <c r="V55" i="59"/>
  <c r="V56" i="59"/>
  <c r="V57" i="59"/>
  <c r="V58" i="59"/>
  <c r="V76" i="59" s="1"/>
  <c r="V59" i="59"/>
  <c r="V60" i="59"/>
  <c r="V61" i="59"/>
  <c r="V62" i="59"/>
  <c r="V63" i="59"/>
  <c r="V64" i="59"/>
  <c r="V65" i="59"/>
  <c r="V66" i="59"/>
  <c r="V67" i="59"/>
  <c r="V68" i="59"/>
  <c r="V69" i="59"/>
  <c r="V70" i="59"/>
  <c r="V71" i="59"/>
  <c r="V72" i="59"/>
  <c r="V73" i="59"/>
  <c r="V74" i="59"/>
  <c r="V75" i="59"/>
  <c r="V44" i="59"/>
  <c r="V33" i="59"/>
  <c r="S25" i="59"/>
  <c r="X15" i="59"/>
  <c r="Y15" i="59" s="1"/>
  <c r="W15" i="59"/>
  <c r="AB16" i="59"/>
  <c r="W17" i="59"/>
  <c r="W18" i="59"/>
  <c r="W19" i="59"/>
  <c r="X19" i="59" s="1"/>
  <c r="W20" i="59"/>
  <c r="W21" i="59"/>
  <c r="X21" i="59" s="1"/>
  <c r="W22" i="59"/>
  <c r="W23" i="59"/>
  <c r="AB23" i="59" s="1"/>
  <c r="W24" i="59"/>
  <c r="AB24" i="59" s="1"/>
  <c r="W14" i="59"/>
  <c r="V23" i="59"/>
  <c r="V15" i="59"/>
  <c r="V16" i="59"/>
  <c r="V17" i="59"/>
  <c r="V18" i="59"/>
  <c r="V19" i="59"/>
  <c r="V20" i="59"/>
  <c r="V21" i="59"/>
  <c r="V22" i="59"/>
  <c r="V24" i="59"/>
  <c r="T24" i="59"/>
  <c r="Q25" i="59"/>
  <c r="R25" i="59"/>
  <c r="N24" i="59"/>
  <c r="I24" i="59"/>
  <c r="H25" i="59"/>
  <c r="G25" i="59"/>
  <c r="C25" i="59"/>
  <c r="B25" i="59"/>
  <c r="D24" i="59"/>
  <c r="J24" i="59"/>
  <c r="N23" i="59"/>
  <c r="E24" i="59"/>
  <c r="F39" i="60"/>
  <c r="X20" i="59" l="1"/>
  <c r="X18" i="59"/>
  <c r="X17" i="59"/>
  <c r="T25" i="59"/>
  <c r="X22" i="59"/>
  <c r="X24" i="59"/>
  <c r="X23" i="59"/>
  <c r="V25" i="59"/>
  <c r="W25" i="59"/>
  <c r="AB14" i="52"/>
  <c r="Y24" i="59"/>
  <c r="R25" i="55" l="1"/>
  <c r="Q25" i="55"/>
  <c r="M25" i="55"/>
  <c r="L25" i="55"/>
  <c r="H25" i="55"/>
  <c r="G25" i="55"/>
  <c r="H41" i="55"/>
  <c r="B41" i="55"/>
  <c r="C25" i="55"/>
  <c r="B25" i="55"/>
  <c r="T27" i="65"/>
  <c r="W27" i="53" l="1"/>
  <c r="V74" i="53"/>
  <c r="V45" i="53"/>
  <c r="V46" i="53"/>
  <c r="V47" i="53"/>
  <c r="V49" i="53"/>
  <c r="V50" i="53"/>
  <c r="V51" i="53"/>
  <c r="V52" i="53"/>
  <c r="V53" i="53"/>
  <c r="V54" i="53"/>
  <c r="V55" i="53"/>
  <c r="V56" i="53"/>
  <c r="V57" i="53"/>
  <c r="V59" i="53"/>
  <c r="V60" i="53"/>
  <c r="V61" i="53"/>
  <c r="V62" i="53"/>
  <c r="V63" i="53"/>
  <c r="V64" i="53"/>
  <c r="V65" i="53"/>
  <c r="V66" i="53"/>
  <c r="V67" i="53"/>
  <c r="V68" i="53"/>
  <c r="V69" i="53"/>
  <c r="V70" i="53"/>
  <c r="V71" i="53"/>
  <c r="V72" i="53"/>
  <c r="V73" i="53"/>
  <c r="V75" i="53"/>
  <c r="V44" i="53"/>
  <c r="V34" i="53"/>
  <c r="V35" i="53"/>
  <c r="V36" i="53"/>
  <c r="V37" i="53"/>
  <c r="V38" i="53"/>
  <c r="V39" i="53"/>
  <c r="V40" i="53"/>
  <c r="V27" i="53"/>
  <c r="AA27" i="53"/>
  <c r="AB27" i="53" l="1"/>
  <c r="W25" i="53"/>
  <c r="X23" i="53"/>
  <c r="V25" i="53"/>
  <c r="X21" i="53"/>
  <c r="X20" i="53"/>
  <c r="X18" i="53"/>
  <c r="X17" i="53"/>
  <c r="X22" i="53"/>
  <c r="X16" i="53"/>
  <c r="X24" i="53"/>
  <c r="X19" i="53"/>
  <c r="J19" i="58"/>
  <c r="S19" i="67"/>
  <c r="T19" i="67" s="1"/>
  <c r="W19" i="68"/>
  <c r="X19" i="68" s="1"/>
  <c r="Y19" i="68" s="1"/>
  <c r="V19" i="68"/>
  <c r="S19" i="68"/>
  <c r="T19" i="68" s="1"/>
  <c r="N19" i="68"/>
  <c r="O19" i="68" s="1"/>
  <c r="I19" i="68"/>
  <c r="J19" i="68" s="1"/>
  <c r="D19" i="68"/>
  <c r="E19" i="68" s="1"/>
  <c r="W19" i="52"/>
  <c r="V19" i="52"/>
  <c r="S19" i="52"/>
  <c r="T19" i="52" s="1"/>
  <c r="N19" i="52"/>
  <c r="O19" i="52" s="1"/>
  <c r="I19" i="52"/>
  <c r="J19" i="52" s="1"/>
  <c r="D19" i="52"/>
  <c r="E19" i="52" s="1"/>
  <c r="I19" i="55"/>
  <c r="X19" i="52" l="1"/>
  <c r="Y19" i="52" s="1"/>
  <c r="X25" i="53"/>
  <c r="AB19" i="52"/>
  <c r="AC19" i="52" s="1"/>
  <c r="AB19" i="68"/>
  <c r="AC19" i="68" s="1"/>
  <c r="X19" i="67"/>
  <c r="Y19" i="67" s="1"/>
  <c r="N34" i="48"/>
  <c r="V59" i="61" l="1"/>
  <c r="V60" i="61"/>
  <c r="V61" i="61"/>
  <c r="V62" i="61"/>
  <c r="V63" i="61"/>
  <c r="V64" i="61"/>
  <c r="V65" i="61"/>
  <c r="V66" i="61"/>
  <c r="V67" i="61"/>
  <c r="V68" i="61"/>
  <c r="V69" i="61"/>
  <c r="V70" i="61"/>
  <c r="V71" i="61"/>
  <c r="V72" i="61"/>
  <c r="V73" i="61"/>
  <c r="V74" i="61"/>
  <c r="V75" i="61"/>
  <c r="V58" i="61"/>
  <c r="V49" i="61"/>
  <c r="V45" i="61"/>
  <c r="W34" i="61"/>
  <c r="W33" i="61"/>
  <c r="AB33" i="61" s="1"/>
  <c r="AC33" i="61" s="1"/>
  <c r="V34" i="61"/>
  <c r="V35" i="61"/>
  <c r="V36" i="61"/>
  <c r="V37" i="61"/>
  <c r="V38" i="61"/>
  <c r="V39" i="61"/>
  <c r="V40" i="61"/>
  <c r="V33" i="61"/>
  <c r="V44" i="61"/>
  <c r="V14" i="61"/>
  <c r="S18" i="61"/>
  <c r="S19" i="61"/>
  <c r="T19" i="61" s="1"/>
  <c r="W19" i="61"/>
  <c r="AB19" i="61" s="1"/>
  <c r="AC19" i="61" s="1"/>
  <c r="V19" i="61"/>
  <c r="N19" i="61"/>
  <c r="O19" i="61" s="1"/>
  <c r="E19" i="61"/>
  <c r="I19" i="61"/>
  <c r="J19" i="61" s="1"/>
  <c r="X19" i="61" l="1"/>
  <c r="Y19" i="61" s="1"/>
  <c r="W15" i="45" l="1"/>
  <c r="AB15" i="45" s="1"/>
  <c r="AC15" i="45" s="1"/>
  <c r="W19" i="45"/>
  <c r="AB19" i="45" s="1"/>
  <c r="V19" i="45"/>
  <c r="W33" i="45"/>
  <c r="V24" i="45" l="1"/>
  <c r="W18" i="45"/>
  <c r="AB18" i="45" s="1"/>
  <c r="W20" i="45"/>
  <c r="AB20" i="45" s="1"/>
  <c r="S71" i="45"/>
  <c r="S19" i="45"/>
  <c r="T19" i="45" s="1"/>
  <c r="O19" i="45"/>
  <c r="X19" i="45"/>
  <c r="Y19" i="45" s="1"/>
  <c r="J19" i="45"/>
  <c r="E19" i="45"/>
  <c r="S27" i="45"/>
  <c r="Q25" i="45"/>
  <c r="R25" i="45"/>
  <c r="M74" i="67" l="1"/>
  <c r="W74" i="67" s="1"/>
  <c r="M72" i="67"/>
  <c r="W72" i="67" s="1"/>
  <c r="M71" i="67"/>
  <c r="W71" i="67" s="1"/>
  <c r="M70" i="67"/>
  <c r="W70" i="67" s="1"/>
  <c r="X70" i="67" s="1"/>
  <c r="M67" i="67"/>
  <c r="W67" i="67" s="1"/>
  <c r="M66" i="67"/>
  <c r="W66" i="67" s="1"/>
  <c r="M65" i="67"/>
  <c r="W65" i="67" s="1"/>
  <c r="M63" i="67"/>
  <c r="W63" i="67" s="1"/>
  <c r="M62" i="67"/>
  <c r="W62" i="67" s="1"/>
  <c r="M60" i="67"/>
  <c r="W60" i="67" s="1"/>
  <c r="M57" i="67"/>
  <c r="W57" i="67" s="1"/>
  <c r="M56" i="67"/>
  <c r="W56" i="67" s="1"/>
  <c r="M53" i="67"/>
  <c r="W53" i="67" s="1"/>
  <c r="M50" i="67"/>
  <c r="W50" i="67" s="1"/>
  <c r="M49" i="67"/>
  <c r="W49" i="67" s="1"/>
  <c r="M45" i="67"/>
  <c r="W45" i="67" s="1"/>
  <c r="M44" i="67"/>
  <c r="W44" i="67" s="1"/>
  <c r="M40" i="67"/>
  <c r="W40" i="67" s="1"/>
  <c r="M38" i="67"/>
  <c r="W38" i="67" s="1"/>
  <c r="M37" i="67"/>
  <c r="W37" i="67" s="1"/>
  <c r="M36" i="67"/>
  <c r="W36" i="67" s="1"/>
  <c r="M35" i="67"/>
  <c r="W35" i="67" s="1"/>
  <c r="M33" i="67"/>
  <c r="W33" i="67" s="1"/>
  <c r="O21" i="67" l="1"/>
  <c r="O22" i="67"/>
  <c r="O23" i="67"/>
  <c r="O24" i="67"/>
  <c r="N25" i="67"/>
  <c r="O25" i="67" s="1"/>
  <c r="O20" i="67"/>
  <c r="E20" i="66"/>
  <c r="O19" i="67" l="1"/>
  <c r="N35" i="53"/>
  <c r="N36" i="53"/>
  <c r="N37" i="53"/>
  <c r="N38" i="53"/>
  <c r="N33" i="58"/>
  <c r="L76" i="52" l="1"/>
  <c r="M76" i="52"/>
  <c r="N73" i="61" l="1"/>
  <c r="O73" i="61" s="1"/>
  <c r="B20" i="44" l="1"/>
  <c r="D33" i="40" l="1"/>
  <c r="W45" i="58" l="1"/>
  <c r="W46" i="58"/>
  <c r="W47" i="58"/>
  <c r="W48" i="58"/>
  <c r="W49" i="58"/>
  <c r="W50" i="58"/>
  <c r="W51" i="58"/>
  <c r="W52" i="58"/>
  <c r="W53" i="58"/>
  <c r="W54" i="58"/>
  <c r="W55" i="58"/>
  <c r="W56" i="58"/>
  <c r="W57" i="58"/>
  <c r="W58" i="58"/>
  <c r="W59" i="58"/>
  <c r="W60" i="58"/>
  <c r="W61" i="58"/>
  <c r="W62" i="58"/>
  <c r="W63" i="58"/>
  <c r="W64" i="58"/>
  <c r="W65" i="58"/>
  <c r="W66" i="58"/>
  <c r="W67" i="58"/>
  <c r="W68" i="58"/>
  <c r="W69" i="58"/>
  <c r="W70" i="58"/>
  <c r="W71" i="58"/>
  <c r="W72" i="58"/>
  <c r="W73" i="58"/>
  <c r="W74" i="58"/>
  <c r="W75" i="58"/>
  <c r="W44" i="58"/>
  <c r="W38" i="58"/>
  <c r="D19" i="58"/>
  <c r="D16" i="58"/>
  <c r="D17" i="58"/>
  <c r="D18" i="58"/>
  <c r="D20" i="58"/>
  <c r="D21" i="58"/>
  <c r="D22" i="58"/>
  <c r="X20" i="58"/>
  <c r="N17" i="58"/>
  <c r="N18" i="58"/>
  <c r="N19" i="58"/>
  <c r="O19" i="58" s="1"/>
  <c r="N20" i="58"/>
  <c r="N21" i="58"/>
  <c r="S18" i="58"/>
  <c r="S19" i="58"/>
  <c r="S20" i="58"/>
  <c r="S21" i="58"/>
  <c r="B25" i="58"/>
  <c r="C25" i="58"/>
  <c r="D73" i="53"/>
  <c r="B20" i="57"/>
  <c r="C20" i="57"/>
  <c r="X19" i="58" l="1"/>
  <c r="AB19" i="58"/>
  <c r="C14" i="40" l="1"/>
  <c r="D18" i="67" l="1"/>
  <c r="E18" i="67" s="1"/>
  <c r="I19" i="67"/>
  <c r="J19" i="67" s="1"/>
  <c r="D19" i="67"/>
  <c r="E19" i="67" s="1"/>
  <c r="D20" i="67"/>
  <c r="E20" i="67" s="1"/>
  <c r="D21" i="67"/>
  <c r="W34" i="59" l="1"/>
  <c r="AC16" i="59"/>
  <c r="X18" i="65" l="1"/>
  <c r="AB18" i="65"/>
  <c r="AC18" i="65" s="1"/>
  <c r="X16" i="65"/>
  <c r="X24" i="65"/>
  <c r="AB15" i="65"/>
  <c r="X15" i="65"/>
  <c r="X17" i="65"/>
  <c r="AB17" i="65"/>
  <c r="AC17" i="65" s="1"/>
  <c r="AB22" i="65"/>
  <c r="AC22" i="65" s="1"/>
  <c r="X22" i="65"/>
  <c r="X19" i="65"/>
  <c r="AB19" i="65"/>
  <c r="AC19" i="65" s="1"/>
  <c r="AB21" i="65"/>
  <c r="AC21" i="65" s="1"/>
  <c r="X21" i="65"/>
  <c r="X20" i="65"/>
  <c r="AB20" i="65"/>
  <c r="AC20" i="65" s="1"/>
  <c r="W25" i="65"/>
  <c r="AA44" i="59"/>
  <c r="AA44" i="46" s="1"/>
  <c r="AA76" i="46" s="1"/>
  <c r="B41" i="58"/>
  <c r="C41" i="58"/>
  <c r="AB25" i="65" l="1"/>
  <c r="AC15" i="65"/>
  <c r="D18" i="52"/>
  <c r="G41" i="61" l="1"/>
  <c r="H41" i="61"/>
  <c r="V21" i="61"/>
  <c r="W21" i="61"/>
  <c r="C25" i="61"/>
  <c r="B25" i="61"/>
  <c r="M25" i="45" l="1"/>
  <c r="S18" i="45" l="1"/>
  <c r="S63" i="45"/>
  <c r="S15" i="45"/>
  <c r="S63" i="68" l="1"/>
  <c r="X54" i="68" l="1"/>
  <c r="X51" i="68"/>
  <c r="X34" i="68"/>
  <c r="S75" i="68"/>
  <c r="S74" i="68"/>
  <c r="S73" i="68"/>
  <c r="S72" i="68"/>
  <c r="S71" i="68"/>
  <c r="S70" i="68"/>
  <c r="S69" i="68"/>
  <c r="S68" i="68"/>
  <c r="S67" i="68"/>
  <c r="S66" i="68"/>
  <c r="S65" i="68"/>
  <c r="S64" i="68"/>
  <c r="S62" i="68"/>
  <c r="S61" i="68"/>
  <c r="S60" i="68"/>
  <c r="S59" i="68"/>
  <c r="S58" i="68"/>
  <c r="S57" i="68"/>
  <c r="S56" i="68"/>
  <c r="S55" i="68"/>
  <c r="S54" i="68"/>
  <c r="S53" i="68"/>
  <c r="S52" i="68"/>
  <c r="S51" i="68"/>
  <c r="S50" i="68"/>
  <c r="S49" i="68"/>
  <c r="S48" i="68"/>
  <c r="S47" i="68"/>
  <c r="S46" i="68"/>
  <c r="S45" i="68"/>
  <c r="S44" i="68"/>
  <c r="S40" i="68"/>
  <c r="S39" i="68"/>
  <c r="S38" i="68"/>
  <c r="S37" i="68"/>
  <c r="S36" i="68"/>
  <c r="S35" i="68"/>
  <c r="S34" i="68"/>
  <c r="S33" i="68"/>
  <c r="N75" i="68"/>
  <c r="N74" i="68"/>
  <c r="N73" i="68"/>
  <c r="N72" i="68"/>
  <c r="N71" i="68"/>
  <c r="N70" i="68"/>
  <c r="N69" i="68"/>
  <c r="N68" i="68"/>
  <c r="N67" i="68"/>
  <c r="N66" i="68"/>
  <c r="N65" i="68"/>
  <c r="N64" i="68"/>
  <c r="N63" i="68"/>
  <c r="N62" i="68"/>
  <c r="N61" i="68"/>
  <c r="N60" i="68"/>
  <c r="N59" i="68"/>
  <c r="N58" i="68"/>
  <c r="N57" i="68"/>
  <c r="N56" i="68"/>
  <c r="N55" i="68"/>
  <c r="N54" i="68"/>
  <c r="N53" i="68"/>
  <c r="N52" i="68"/>
  <c r="N51" i="68"/>
  <c r="N50" i="68"/>
  <c r="N49" i="68"/>
  <c r="N48" i="68"/>
  <c r="N47" i="68"/>
  <c r="N46" i="68"/>
  <c r="N45" i="68"/>
  <c r="N44" i="68"/>
  <c r="N40" i="68"/>
  <c r="N39" i="68"/>
  <c r="N38" i="68"/>
  <c r="N37" i="68"/>
  <c r="N36" i="68"/>
  <c r="N35" i="68"/>
  <c r="N34" i="68"/>
  <c r="N33" i="68"/>
  <c r="I75" i="68"/>
  <c r="I74" i="68"/>
  <c r="I73" i="68"/>
  <c r="I72" i="68"/>
  <c r="I71" i="68"/>
  <c r="I70" i="68"/>
  <c r="I69" i="68"/>
  <c r="I68" i="68"/>
  <c r="I67" i="68"/>
  <c r="I66" i="68"/>
  <c r="I65" i="68"/>
  <c r="I64" i="68"/>
  <c r="I63" i="68"/>
  <c r="I62" i="68"/>
  <c r="I61" i="68"/>
  <c r="I60" i="68"/>
  <c r="I59" i="68"/>
  <c r="I58" i="68"/>
  <c r="I57" i="68"/>
  <c r="I56" i="68"/>
  <c r="I55" i="68"/>
  <c r="I54" i="68"/>
  <c r="I53" i="68"/>
  <c r="I52" i="68"/>
  <c r="I51" i="68"/>
  <c r="I50" i="68"/>
  <c r="I49" i="68"/>
  <c r="I48" i="68"/>
  <c r="I47" i="68"/>
  <c r="I46" i="68"/>
  <c r="I45" i="68"/>
  <c r="I44" i="68"/>
  <c r="S75" i="67"/>
  <c r="S74" i="67"/>
  <c r="S73" i="67"/>
  <c r="T73" i="67" s="1"/>
  <c r="S72" i="67"/>
  <c r="S71" i="67"/>
  <c r="S70" i="67"/>
  <c r="S69" i="67"/>
  <c r="S68" i="67"/>
  <c r="S67" i="67"/>
  <c r="S66" i="67"/>
  <c r="S65" i="67"/>
  <c r="S64" i="67"/>
  <c r="S63" i="67"/>
  <c r="S62" i="67"/>
  <c r="S61" i="67"/>
  <c r="S60" i="67"/>
  <c r="S59" i="67"/>
  <c r="S58" i="67"/>
  <c r="S57" i="67"/>
  <c r="S56" i="67"/>
  <c r="S55" i="67"/>
  <c r="S54" i="67"/>
  <c r="T54" i="67" s="1"/>
  <c r="S53" i="67"/>
  <c r="S52" i="67"/>
  <c r="S51" i="67"/>
  <c r="T51" i="67" s="1"/>
  <c r="S50" i="67"/>
  <c r="S49" i="67"/>
  <c r="S48" i="67"/>
  <c r="S47" i="67"/>
  <c r="S46" i="67"/>
  <c r="S45" i="67"/>
  <c r="S44" i="67"/>
  <c r="S40" i="67"/>
  <c r="S39" i="67"/>
  <c r="S38" i="67"/>
  <c r="S37" i="67"/>
  <c r="S36" i="67"/>
  <c r="S35" i="67"/>
  <c r="S34" i="67"/>
  <c r="S33" i="67"/>
  <c r="N75" i="67"/>
  <c r="N74" i="67"/>
  <c r="N73" i="67"/>
  <c r="O73" i="67" s="1"/>
  <c r="N72" i="67"/>
  <c r="N71" i="67"/>
  <c r="N70" i="67"/>
  <c r="N69" i="67"/>
  <c r="N68" i="67"/>
  <c r="N67" i="67"/>
  <c r="N66" i="67"/>
  <c r="N65" i="67"/>
  <c r="N64" i="67"/>
  <c r="N63" i="67"/>
  <c r="N62" i="67"/>
  <c r="N61" i="67"/>
  <c r="N60" i="67"/>
  <c r="N59" i="67"/>
  <c r="N58" i="67"/>
  <c r="N57" i="67"/>
  <c r="N56" i="67"/>
  <c r="N55" i="67"/>
  <c r="N54" i="67"/>
  <c r="O54" i="67" s="1"/>
  <c r="N53" i="67"/>
  <c r="N52" i="67"/>
  <c r="N51" i="67"/>
  <c r="O51" i="67" s="1"/>
  <c r="N50" i="67"/>
  <c r="N49" i="67"/>
  <c r="N48" i="67"/>
  <c r="N47" i="67"/>
  <c r="N46" i="67"/>
  <c r="N45" i="67"/>
  <c r="N44" i="67"/>
  <c r="N40" i="67"/>
  <c r="N39" i="67"/>
  <c r="N38" i="67"/>
  <c r="N37" i="67"/>
  <c r="N36" i="67"/>
  <c r="N35" i="67"/>
  <c r="N34" i="67"/>
  <c r="N33" i="67"/>
  <c r="I75" i="67"/>
  <c r="I74" i="67"/>
  <c r="I73" i="67"/>
  <c r="I72" i="67"/>
  <c r="I71" i="67"/>
  <c r="I70" i="67"/>
  <c r="I69" i="67"/>
  <c r="I68" i="67"/>
  <c r="I67" i="67"/>
  <c r="I66" i="67"/>
  <c r="I65" i="67"/>
  <c r="I64" i="67"/>
  <c r="I63" i="67"/>
  <c r="I62" i="67"/>
  <c r="I61" i="67"/>
  <c r="I60" i="67"/>
  <c r="I59" i="67"/>
  <c r="I58" i="67"/>
  <c r="I57" i="67"/>
  <c r="I56" i="67"/>
  <c r="I55" i="67"/>
  <c r="I54" i="67"/>
  <c r="J54" i="67" s="1"/>
  <c r="I53" i="67"/>
  <c r="I52" i="67"/>
  <c r="I51" i="67"/>
  <c r="J51" i="67" s="1"/>
  <c r="I50" i="67"/>
  <c r="I49" i="67"/>
  <c r="I48" i="67"/>
  <c r="I47" i="67"/>
  <c r="I46" i="67"/>
  <c r="I45" i="67"/>
  <c r="I44" i="67"/>
  <c r="I40" i="67"/>
  <c r="I39" i="67"/>
  <c r="I38" i="67"/>
  <c r="I37" i="67"/>
  <c r="I36" i="67"/>
  <c r="I35" i="67"/>
  <c r="I34" i="67"/>
  <c r="I33" i="67"/>
  <c r="D75" i="67"/>
  <c r="D74" i="67"/>
  <c r="D73" i="67"/>
  <c r="D72" i="67"/>
  <c r="D71" i="67"/>
  <c r="D70" i="67"/>
  <c r="D69" i="67"/>
  <c r="D68" i="67"/>
  <c r="D67" i="67"/>
  <c r="D66" i="67"/>
  <c r="D65" i="67"/>
  <c r="D64" i="67"/>
  <c r="D63" i="67"/>
  <c r="D62" i="67"/>
  <c r="D61" i="67"/>
  <c r="D60" i="67"/>
  <c r="D59" i="67"/>
  <c r="D58" i="67"/>
  <c r="D57" i="67"/>
  <c r="D56" i="67"/>
  <c r="D55" i="67"/>
  <c r="D54" i="67"/>
  <c r="E54" i="67" s="1"/>
  <c r="D53" i="67"/>
  <c r="D52" i="67"/>
  <c r="D51" i="67"/>
  <c r="E51" i="67" s="1"/>
  <c r="D50" i="67"/>
  <c r="D49" i="67"/>
  <c r="D48" i="67"/>
  <c r="D47" i="67"/>
  <c r="D46" i="67"/>
  <c r="D45" i="67"/>
  <c r="D44" i="67"/>
  <c r="D40" i="67"/>
  <c r="D39" i="67"/>
  <c r="D38" i="67"/>
  <c r="D37" i="67"/>
  <c r="D36" i="67"/>
  <c r="D35" i="67"/>
  <c r="D34" i="67"/>
  <c r="D33" i="67"/>
  <c r="E33" i="67" s="1"/>
  <c r="S75" i="65"/>
  <c r="S74" i="65"/>
  <c r="S73" i="65"/>
  <c r="S72" i="65"/>
  <c r="S71" i="65"/>
  <c r="S70" i="65"/>
  <c r="S69" i="65"/>
  <c r="S68" i="65"/>
  <c r="S67" i="65"/>
  <c r="S66" i="65"/>
  <c r="S65" i="65"/>
  <c r="S64" i="65"/>
  <c r="S63" i="65"/>
  <c r="S62" i="65"/>
  <c r="S61" i="65"/>
  <c r="S60" i="65"/>
  <c r="S59" i="65"/>
  <c r="S58" i="65"/>
  <c r="S57" i="65"/>
  <c r="S56" i="65"/>
  <c r="S55" i="65"/>
  <c r="S54" i="65"/>
  <c r="T54" i="65" s="1"/>
  <c r="S53" i="65"/>
  <c r="S52" i="65"/>
  <c r="S51" i="65"/>
  <c r="S50" i="65"/>
  <c r="S49" i="65"/>
  <c r="S48" i="65"/>
  <c r="S47" i="65"/>
  <c r="S46" i="65"/>
  <c r="S45" i="65"/>
  <c r="S44" i="65"/>
  <c r="S40" i="65"/>
  <c r="T40" i="65" s="1"/>
  <c r="S39" i="65"/>
  <c r="S38" i="65"/>
  <c r="S37" i="65"/>
  <c r="S36" i="65"/>
  <c r="S35" i="65"/>
  <c r="S34" i="65"/>
  <c r="S33" i="65"/>
  <c r="N75" i="65"/>
  <c r="N74" i="65"/>
  <c r="N73" i="65"/>
  <c r="N72" i="65"/>
  <c r="N71" i="65"/>
  <c r="N70" i="65"/>
  <c r="N69" i="65"/>
  <c r="N68" i="65"/>
  <c r="N67" i="65"/>
  <c r="N66" i="65"/>
  <c r="N65" i="65"/>
  <c r="N64" i="65"/>
  <c r="N63" i="65"/>
  <c r="N62" i="65"/>
  <c r="N61" i="65"/>
  <c r="N60" i="65"/>
  <c r="N59" i="65"/>
  <c r="N58" i="65"/>
  <c r="N57" i="65"/>
  <c r="N56" i="65"/>
  <c r="N55" i="65"/>
  <c r="N54" i="65"/>
  <c r="O54" i="65" s="1"/>
  <c r="N53" i="65"/>
  <c r="N52" i="65"/>
  <c r="N51" i="65"/>
  <c r="O51" i="65" s="1"/>
  <c r="N50" i="65"/>
  <c r="N49" i="65"/>
  <c r="N48" i="65"/>
  <c r="N47" i="65"/>
  <c r="N46" i="65"/>
  <c r="N45" i="65"/>
  <c r="N44" i="65"/>
  <c r="N40" i="65"/>
  <c r="N39" i="65"/>
  <c r="N38" i="65"/>
  <c r="N37" i="65"/>
  <c r="N36" i="65"/>
  <c r="N35" i="65"/>
  <c r="N34" i="65"/>
  <c r="N33" i="65"/>
  <c r="I75" i="65"/>
  <c r="I74" i="65"/>
  <c r="I73" i="65"/>
  <c r="I72" i="65"/>
  <c r="I71" i="65"/>
  <c r="I70" i="65"/>
  <c r="I69" i="65"/>
  <c r="I68" i="65"/>
  <c r="I67" i="65"/>
  <c r="I66" i="65"/>
  <c r="I65" i="65"/>
  <c r="I64" i="65"/>
  <c r="I63" i="65"/>
  <c r="I62" i="65"/>
  <c r="I61" i="65"/>
  <c r="I60" i="65"/>
  <c r="I59" i="65"/>
  <c r="I58" i="65"/>
  <c r="I57" i="65"/>
  <c r="I56" i="65"/>
  <c r="I55" i="65"/>
  <c r="I54" i="65"/>
  <c r="J54" i="65" s="1"/>
  <c r="I53" i="65"/>
  <c r="I52" i="65"/>
  <c r="I51" i="65"/>
  <c r="J51" i="65" s="1"/>
  <c r="I50" i="65"/>
  <c r="I49" i="65"/>
  <c r="I48" i="65"/>
  <c r="I47" i="65"/>
  <c r="I46" i="65"/>
  <c r="I45" i="65"/>
  <c r="I44" i="65"/>
  <c r="I40" i="65"/>
  <c r="I39" i="65"/>
  <c r="I38" i="65"/>
  <c r="I37" i="65"/>
  <c r="I36" i="65"/>
  <c r="I35" i="65"/>
  <c r="I34" i="65"/>
  <c r="I33" i="65"/>
  <c r="D75" i="65"/>
  <c r="D74" i="65"/>
  <c r="D73" i="65"/>
  <c r="D72" i="65"/>
  <c r="D71" i="65"/>
  <c r="D70" i="65"/>
  <c r="D69" i="65"/>
  <c r="D68" i="65"/>
  <c r="D67" i="65"/>
  <c r="D66" i="65"/>
  <c r="D65" i="65"/>
  <c r="D64" i="65"/>
  <c r="D63" i="65"/>
  <c r="D62" i="65"/>
  <c r="D61" i="65"/>
  <c r="D60" i="65"/>
  <c r="D59" i="65"/>
  <c r="D58" i="65"/>
  <c r="D57" i="65"/>
  <c r="D56" i="65"/>
  <c r="D55" i="65"/>
  <c r="D54" i="65"/>
  <c r="D53" i="65"/>
  <c r="D52" i="65"/>
  <c r="D51" i="65"/>
  <c r="D50" i="65"/>
  <c r="D49" i="65"/>
  <c r="D48" i="65"/>
  <c r="D47" i="65"/>
  <c r="D46" i="65"/>
  <c r="D45" i="65"/>
  <c r="D44" i="65"/>
  <c r="D40" i="65"/>
  <c r="D39" i="65"/>
  <c r="D38" i="65"/>
  <c r="D37" i="65"/>
  <c r="D36" i="65"/>
  <c r="D35" i="65"/>
  <c r="D34" i="65"/>
  <c r="D33" i="65"/>
  <c r="D18" i="65"/>
  <c r="S75" i="53"/>
  <c r="S74" i="53"/>
  <c r="S73" i="53"/>
  <c r="S72" i="53"/>
  <c r="S71" i="53"/>
  <c r="S70" i="53"/>
  <c r="S69" i="53"/>
  <c r="S68" i="53"/>
  <c r="S67" i="53"/>
  <c r="S66" i="53"/>
  <c r="S65" i="53"/>
  <c r="S64" i="53"/>
  <c r="S63" i="53"/>
  <c r="S62" i="53"/>
  <c r="S61" i="53"/>
  <c r="S60" i="53"/>
  <c r="S59" i="53"/>
  <c r="S58" i="53"/>
  <c r="S57" i="53"/>
  <c r="S56" i="53"/>
  <c r="S55" i="53"/>
  <c r="S54" i="53"/>
  <c r="S53" i="53"/>
  <c r="S52" i="53"/>
  <c r="S51" i="53"/>
  <c r="S50" i="53"/>
  <c r="S49" i="53"/>
  <c r="S48" i="53"/>
  <c r="S47" i="53"/>
  <c r="S46" i="53"/>
  <c r="S45" i="53"/>
  <c r="S44" i="53"/>
  <c r="S40" i="53"/>
  <c r="S39" i="53"/>
  <c r="S38" i="53"/>
  <c r="S37" i="53"/>
  <c r="S36" i="53"/>
  <c r="S35" i="53"/>
  <c r="S34" i="53"/>
  <c r="S33" i="53"/>
  <c r="N40" i="53"/>
  <c r="N39" i="53"/>
  <c r="N34" i="53"/>
  <c r="I75" i="53"/>
  <c r="I74" i="53"/>
  <c r="I73" i="53"/>
  <c r="I72" i="53"/>
  <c r="I71" i="53"/>
  <c r="I70" i="53"/>
  <c r="I69" i="53"/>
  <c r="I68" i="53"/>
  <c r="I67" i="53"/>
  <c r="I66" i="53"/>
  <c r="I65" i="53"/>
  <c r="I64" i="53"/>
  <c r="I63" i="53"/>
  <c r="I62" i="53"/>
  <c r="I61" i="53"/>
  <c r="I60" i="53"/>
  <c r="I59" i="53"/>
  <c r="I58" i="53"/>
  <c r="I57" i="53"/>
  <c r="I56" i="53"/>
  <c r="I55" i="53"/>
  <c r="I54" i="53"/>
  <c r="I53" i="53"/>
  <c r="I52" i="53"/>
  <c r="I51" i="53"/>
  <c r="I50" i="53"/>
  <c r="I49" i="53"/>
  <c r="I48" i="53"/>
  <c r="I47" i="53"/>
  <c r="I46" i="53"/>
  <c r="I45" i="53"/>
  <c r="I44" i="53"/>
  <c r="I40" i="53"/>
  <c r="I39" i="53"/>
  <c r="I38" i="53"/>
  <c r="I37" i="53"/>
  <c r="I36" i="53"/>
  <c r="I35" i="53"/>
  <c r="I34" i="53"/>
  <c r="I33" i="53"/>
  <c r="D75" i="53"/>
  <c r="D74" i="53"/>
  <c r="E74" i="53" s="1"/>
  <c r="D72" i="53"/>
  <c r="D71" i="53"/>
  <c r="D70" i="53"/>
  <c r="D69" i="53"/>
  <c r="D68" i="53"/>
  <c r="D67" i="53"/>
  <c r="D66" i="53"/>
  <c r="D65" i="53"/>
  <c r="D64" i="53"/>
  <c r="D63" i="53"/>
  <c r="D62" i="53"/>
  <c r="D61" i="53"/>
  <c r="D60" i="53"/>
  <c r="D59" i="53"/>
  <c r="D58" i="53"/>
  <c r="D57" i="53"/>
  <c r="D56" i="53"/>
  <c r="D55" i="53"/>
  <c r="D54" i="53"/>
  <c r="D53" i="53"/>
  <c r="D52" i="53"/>
  <c r="D51" i="53"/>
  <c r="D50" i="53"/>
  <c r="D49" i="53"/>
  <c r="D48" i="53"/>
  <c r="D47" i="53"/>
  <c r="D46" i="53"/>
  <c r="D45" i="53"/>
  <c r="D44" i="53"/>
  <c r="D40" i="53"/>
  <c r="D39" i="53"/>
  <c r="D38" i="53"/>
  <c r="D37" i="53"/>
  <c r="D36" i="53"/>
  <c r="D35" i="53"/>
  <c r="D34" i="53"/>
  <c r="D33" i="53"/>
  <c r="S75" i="58"/>
  <c r="S74" i="58"/>
  <c r="S73" i="58"/>
  <c r="S72" i="58"/>
  <c r="S71" i="58"/>
  <c r="S70" i="58"/>
  <c r="S69" i="58"/>
  <c r="S68" i="58"/>
  <c r="S67" i="58"/>
  <c r="S66" i="58"/>
  <c r="S65" i="58"/>
  <c r="S64" i="58"/>
  <c r="S63" i="58"/>
  <c r="S62" i="58"/>
  <c r="S61" i="58"/>
  <c r="S60" i="58"/>
  <c r="S59" i="58"/>
  <c r="S58" i="58"/>
  <c r="S57" i="58"/>
  <c r="S56" i="58"/>
  <c r="S55" i="58"/>
  <c r="S54" i="58"/>
  <c r="S53" i="58"/>
  <c r="S52" i="58"/>
  <c r="S51" i="58"/>
  <c r="S50" i="58"/>
  <c r="S49" i="58"/>
  <c r="S48" i="58"/>
  <c r="S47" i="58"/>
  <c r="S46" i="58"/>
  <c r="S45" i="58"/>
  <c r="S44" i="58"/>
  <c r="S40" i="58"/>
  <c r="S39" i="58"/>
  <c r="S38" i="58"/>
  <c r="S37" i="58"/>
  <c r="S36" i="58"/>
  <c r="S35" i="58"/>
  <c r="S34" i="58"/>
  <c r="S33" i="58"/>
  <c r="N75" i="58"/>
  <c r="N74" i="58"/>
  <c r="N73" i="58"/>
  <c r="N72" i="58"/>
  <c r="N71" i="58"/>
  <c r="N70" i="58"/>
  <c r="N69" i="58"/>
  <c r="N68" i="58"/>
  <c r="N67" i="58"/>
  <c r="N66" i="58"/>
  <c r="N65" i="58"/>
  <c r="N64" i="58"/>
  <c r="N63" i="58"/>
  <c r="N62" i="58"/>
  <c r="N61" i="58"/>
  <c r="N60" i="58"/>
  <c r="N59" i="58"/>
  <c r="N58" i="58"/>
  <c r="N57" i="58"/>
  <c r="N56" i="58"/>
  <c r="N55" i="58"/>
  <c r="N54" i="58"/>
  <c r="N53" i="58"/>
  <c r="N52" i="58"/>
  <c r="N51" i="58"/>
  <c r="N50" i="58"/>
  <c r="N49" i="58"/>
  <c r="N48" i="58"/>
  <c r="N47" i="58"/>
  <c r="N46" i="58"/>
  <c r="N45" i="58"/>
  <c r="N44" i="58"/>
  <c r="N40" i="58"/>
  <c r="N39" i="58"/>
  <c r="N38" i="58"/>
  <c r="N37" i="58"/>
  <c r="N36" i="58"/>
  <c r="N35" i="58"/>
  <c r="N34" i="58"/>
  <c r="I75" i="58"/>
  <c r="I74" i="58"/>
  <c r="I73" i="58"/>
  <c r="I72" i="58"/>
  <c r="I71" i="58"/>
  <c r="I70" i="58"/>
  <c r="I69" i="58"/>
  <c r="I68" i="58"/>
  <c r="I67" i="58"/>
  <c r="I66" i="58"/>
  <c r="I65" i="58"/>
  <c r="I64" i="58"/>
  <c r="I63" i="58"/>
  <c r="I62" i="58"/>
  <c r="I61" i="58"/>
  <c r="I60" i="58"/>
  <c r="I59" i="58"/>
  <c r="I58" i="58"/>
  <c r="I57" i="58"/>
  <c r="I56" i="58"/>
  <c r="I55" i="58"/>
  <c r="I54" i="58"/>
  <c r="I53" i="58"/>
  <c r="I52" i="58"/>
  <c r="I51" i="58"/>
  <c r="I50" i="58"/>
  <c r="I49" i="58"/>
  <c r="I48" i="58"/>
  <c r="I47" i="58"/>
  <c r="I46" i="58"/>
  <c r="I45" i="58"/>
  <c r="I44" i="58"/>
  <c r="I40" i="58"/>
  <c r="I39" i="58"/>
  <c r="I38" i="58"/>
  <c r="I37" i="58"/>
  <c r="I36" i="58"/>
  <c r="I35" i="58"/>
  <c r="I34" i="58"/>
  <c r="I33" i="58"/>
  <c r="D75" i="58"/>
  <c r="D74" i="58"/>
  <c r="D73" i="58"/>
  <c r="D72" i="58"/>
  <c r="D71" i="58"/>
  <c r="D70" i="58"/>
  <c r="D69" i="58"/>
  <c r="D68" i="58"/>
  <c r="D67" i="58"/>
  <c r="D66" i="58"/>
  <c r="D65" i="58"/>
  <c r="D64" i="58"/>
  <c r="D63" i="58"/>
  <c r="D62" i="58"/>
  <c r="D61" i="58"/>
  <c r="D60" i="58"/>
  <c r="D59" i="58"/>
  <c r="D58" i="58"/>
  <c r="D57" i="58"/>
  <c r="D56" i="58"/>
  <c r="D55" i="58"/>
  <c r="D54" i="58"/>
  <c r="D53" i="58"/>
  <c r="D52" i="58"/>
  <c r="D51" i="58"/>
  <c r="D50" i="58"/>
  <c r="D49" i="58"/>
  <c r="D48" i="58"/>
  <c r="D47" i="58"/>
  <c r="D46" i="58"/>
  <c r="D45" i="58"/>
  <c r="D44" i="58"/>
  <c r="D40" i="58"/>
  <c r="E40" i="58" s="1"/>
  <c r="D39" i="58"/>
  <c r="E39" i="58" s="1"/>
  <c r="D38" i="58"/>
  <c r="E38" i="58" s="1"/>
  <c r="D37" i="58"/>
  <c r="E37" i="58" s="1"/>
  <c r="D36" i="58"/>
  <c r="E36" i="58" s="1"/>
  <c r="D35" i="58"/>
  <c r="E35" i="58" s="1"/>
  <c r="D34" i="58"/>
  <c r="E34" i="58" s="1"/>
  <c r="D33" i="58"/>
  <c r="E33" i="58" s="1"/>
  <c r="X75" i="59"/>
  <c r="X74" i="59"/>
  <c r="X73" i="59"/>
  <c r="X72" i="59"/>
  <c r="X71" i="59"/>
  <c r="X70" i="59"/>
  <c r="X69" i="59"/>
  <c r="X68" i="59"/>
  <c r="X67" i="59"/>
  <c r="X66" i="59"/>
  <c r="X65" i="59"/>
  <c r="X64" i="59"/>
  <c r="X63" i="59"/>
  <c r="X62" i="59"/>
  <c r="X61" i="59"/>
  <c r="X60" i="59"/>
  <c r="X59" i="59"/>
  <c r="X58" i="59"/>
  <c r="X57" i="59"/>
  <c r="X56" i="59"/>
  <c r="X55" i="59"/>
  <c r="X54" i="59"/>
  <c r="X53" i="59"/>
  <c r="X52" i="59"/>
  <c r="X51" i="59"/>
  <c r="Y51" i="59" s="1"/>
  <c r="X50" i="59"/>
  <c r="X49" i="59"/>
  <c r="X48" i="59"/>
  <c r="X47" i="59"/>
  <c r="X46" i="59"/>
  <c r="X45" i="59"/>
  <c r="X44" i="59"/>
  <c r="S75" i="59"/>
  <c r="S74" i="59"/>
  <c r="S73" i="59"/>
  <c r="S72" i="59"/>
  <c r="S71" i="59"/>
  <c r="S70" i="59"/>
  <c r="S69" i="59"/>
  <c r="S68" i="59"/>
  <c r="S67" i="59"/>
  <c r="S66" i="59"/>
  <c r="S65" i="59"/>
  <c r="S64" i="59"/>
  <c r="S63" i="59"/>
  <c r="S62" i="59"/>
  <c r="S61" i="59"/>
  <c r="S60" i="59"/>
  <c r="S59" i="59"/>
  <c r="S58" i="59"/>
  <c r="S57" i="59"/>
  <c r="S56" i="59"/>
  <c r="S55" i="59"/>
  <c r="S54" i="59"/>
  <c r="S53" i="59"/>
  <c r="S52" i="59"/>
  <c r="S51" i="59"/>
  <c r="S50" i="59"/>
  <c r="S49" i="59"/>
  <c r="S48" i="59"/>
  <c r="S47" i="59"/>
  <c r="S46" i="59"/>
  <c r="S45" i="59"/>
  <c r="S44" i="59"/>
  <c r="S40" i="59"/>
  <c r="S39" i="59"/>
  <c r="S38" i="59"/>
  <c r="S37" i="59"/>
  <c r="S36" i="59"/>
  <c r="S35" i="59"/>
  <c r="S34" i="59"/>
  <c r="S33" i="59"/>
  <c r="N75" i="59"/>
  <c r="N74" i="59"/>
  <c r="N73" i="59"/>
  <c r="N72" i="59"/>
  <c r="N71" i="59"/>
  <c r="N70" i="59"/>
  <c r="N69" i="59"/>
  <c r="N68" i="59"/>
  <c r="N67" i="59"/>
  <c r="N66" i="59"/>
  <c r="N65" i="59"/>
  <c r="N64" i="59"/>
  <c r="N63" i="59"/>
  <c r="N62" i="59"/>
  <c r="N61" i="59"/>
  <c r="N60" i="59"/>
  <c r="N59" i="59"/>
  <c r="N58" i="59"/>
  <c r="N57" i="59"/>
  <c r="N56" i="59"/>
  <c r="N55" i="59"/>
  <c r="N54" i="59"/>
  <c r="N53" i="59"/>
  <c r="N52" i="59"/>
  <c r="N51" i="59"/>
  <c r="O51" i="59" s="1"/>
  <c r="N50" i="59"/>
  <c r="N49" i="59"/>
  <c r="N48" i="59"/>
  <c r="N47" i="59"/>
  <c r="N46" i="59"/>
  <c r="N45" i="59"/>
  <c r="N44" i="59"/>
  <c r="N40" i="59"/>
  <c r="N39" i="59"/>
  <c r="N38" i="59"/>
  <c r="N37" i="59"/>
  <c r="N36" i="59"/>
  <c r="N35" i="59"/>
  <c r="N34" i="59"/>
  <c r="N33" i="59"/>
  <c r="I75" i="59"/>
  <c r="I74" i="59"/>
  <c r="I73" i="59"/>
  <c r="I72" i="59"/>
  <c r="I71" i="59"/>
  <c r="I70" i="59"/>
  <c r="I69" i="59"/>
  <c r="I68" i="59"/>
  <c r="I67" i="59"/>
  <c r="I66" i="59"/>
  <c r="I65" i="59"/>
  <c r="I64" i="59"/>
  <c r="I63" i="59"/>
  <c r="I62" i="59"/>
  <c r="I61" i="59"/>
  <c r="I60" i="59"/>
  <c r="I59" i="59"/>
  <c r="I58" i="59"/>
  <c r="I57" i="59"/>
  <c r="I56" i="59"/>
  <c r="I55" i="59"/>
  <c r="I54" i="59"/>
  <c r="I53" i="59"/>
  <c r="I52" i="59"/>
  <c r="I51" i="59"/>
  <c r="J51" i="59" s="1"/>
  <c r="I50" i="59"/>
  <c r="I49" i="59"/>
  <c r="I48" i="59"/>
  <c r="I47" i="59"/>
  <c r="I46" i="59"/>
  <c r="I45" i="59"/>
  <c r="I44" i="59"/>
  <c r="I40" i="59"/>
  <c r="I39" i="59"/>
  <c r="I38" i="59"/>
  <c r="I37" i="59"/>
  <c r="I36" i="59"/>
  <c r="I35" i="59"/>
  <c r="I34" i="59"/>
  <c r="I33" i="59"/>
  <c r="D75" i="59"/>
  <c r="D74" i="59"/>
  <c r="D73" i="59"/>
  <c r="D72" i="59"/>
  <c r="D71" i="59"/>
  <c r="D70" i="59"/>
  <c r="D69" i="59"/>
  <c r="D68" i="59"/>
  <c r="D67" i="59"/>
  <c r="D66" i="59"/>
  <c r="D65" i="59"/>
  <c r="D64" i="59"/>
  <c r="D63" i="59"/>
  <c r="D62" i="59"/>
  <c r="D61" i="59"/>
  <c r="D60" i="59"/>
  <c r="D59" i="59"/>
  <c r="D58" i="59"/>
  <c r="D57" i="59"/>
  <c r="D56" i="59"/>
  <c r="D55" i="59"/>
  <c r="D54" i="59"/>
  <c r="D53" i="59"/>
  <c r="D52" i="59"/>
  <c r="D51" i="59"/>
  <c r="D50" i="59"/>
  <c r="D49" i="59"/>
  <c r="D48" i="59"/>
  <c r="D47" i="59"/>
  <c r="D46" i="59"/>
  <c r="D45" i="59"/>
  <c r="D44" i="59"/>
  <c r="D40" i="59"/>
  <c r="D39" i="59"/>
  <c r="D38" i="59"/>
  <c r="D37" i="59"/>
  <c r="D36" i="59"/>
  <c r="D35" i="59"/>
  <c r="D34" i="59"/>
  <c r="D33" i="59"/>
  <c r="S75" i="48"/>
  <c r="S74" i="48"/>
  <c r="S73" i="48"/>
  <c r="S72" i="48"/>
  <c r="S71" i="48"/>
  <c r="S70" i="48"/>
  <c r="S69" i="48"/>
  <c r="S68" i="48"/>
  <c r="S67" i="48"/>
  <c r="S66" i="48"/>
  <c r="S65" i="48"/>
  <c r="S64" i="48"/>
  <c r="S63" i="48"/>
  <c r="S62" i="48"/>
  <c r="S61" i="48"/>
  <c r="S60" i="48"/>
  <c r="S59" i="48"/>
  <c r="S58" i="48"/>
  <c r="S57" i="48"/>
  <c r="S56" i="48"/>
  <c r="S55" i="48"/>
  <c r="S54" i="48"/>
  <c r="S53" i="48"/>
  <c r="S52" i="48"/>
  <c r="S51" i="48"/>
  <c r="S50" i="48"/>
  <c r="S49" i="48"/>
  <c r="S48" i="48"/>
  <c r="S47" i="48"/>
  <c r="S46" i="48"/>
  <c r="S45" i="48"/>
  <c r="S44" i="48"/>
  <c r="S40" i="48"/>
  <c r="S39" i="48"/>
  <c r="S38" i="48"/>
  <c r="S37" i="48"/>
  <c r="S36" i="48"/>
  <c r="S35" i="48"/>
  <c r="S34" i="48"/>
  <c r="S33" i="48"/>
  <c r="N75" i="48"/>
  <c r="N74" i="48"/>
  <c r="N73" i="48"/>
  <c r="N72" i="48"/>
  <c r="N71" i="48"/>
  <c r="N70" i="48"/>
  <c r="N69" i="48"/>
  <c r="N68" i="48"/>
  <c r="N67" i="48"/>
  <c r="N66" i="48"/>
  <c r="N65" i="48"/>
  <c r="N64" i="48"/>
  <c r="N63" i="48"/>
  <c r="N62" i="48"/>
  <c r="N61" i="48"/>
  <c r="N60" i="48"/>
  <c r="N59" i="48"/>
  <c r="N58" i="48"/>
  <c r="N57" i="48"/>
  <c r="N56" i="48"/>
  <c r="N55" i="48"/>
  <c r="N54" i="48"/>
  <c r="N53" i="48"/>
  <c r="N52" i="48"/>
  <c r="N51" i="48"/>
  <c r="N50" i="48"/>
  <c r="N49" i="48"/>
  <c r="N48" i="48"/>
  <c r="N47" i="48"/>
  <c r="N46" i="48"/>
  <c r="N45" i="48"/>
  <c r="N44" i="48"/>
  <c r="N40" i="48"/>
  <c r="N39" i="48"/>
  <c r="N38" i="48"/>
  <c r="N37" i="48"/>
  <c r="N36" i="48"/>
  <c r="N35" i="48"/>
  <c r="N33" i="48"/>
  <c r="I75" i="48"/>
  <c r="I74" i="48"/>
  <c r="I73" i="48"/>
  <c r="I72" i="48"/>
  <c r="I71" i="48"/>
  <c r="I70" i="48"/>
  <c r="I69" i="48"/>
  <c r="I68" i="48"/>
  <c r="I67" i="48"/>
  <c r="I66" i="48"/>
  <c r="I65" i="48"/>
  <c r="I64" i="48"/>
  <c r="I63" i="48"/>
  <c r="I62" i="48"/>
  <c r="I61" i="48"/>
  <c r="I60" i="48"/>
  <c r="I59" i="48"/>
  <c r="I58" i="48"/>
  <c r="I57" i="48"/>
  <c r="I56" i="48"/>
  <c r="I55" i="48"/>
  <c r="I54" i="48"/>
  <c r="I53" i="48"/>
  <c r="I52" i="48"/>
  <c r="I51" i="48"/>
  <c r="I50" i="48"/>
  <c r="I49" i="48"/>
  <c r="I48" i="48"/>
  <c r="I47" i="48"/>
  <c r="I46" i="48"/>
  <c r="I45" i="48"/>
  <c r="I44" i="48"/>
  <c r="I40" i="48"/>
  <c r="I39" i="48"/>
  <c r="I38" i="48"/>
  <c r="I37" i="48"/>
  <c r="I36" i="48"/>
  <c r="I35" i="48"/>
  <c r="I34" i="48"/>
  <c r="I33" i="48"/>
  <c r="D75" i="48"/>
  <c r="D74" i="48"/>
  <c r="D73" i="48"/>
  <c r="D72" i="48"/>
  <c r="D71" i="48"/>
  <c r="D70" i="48"/>
  <c r="D69" i="48"/>
  <c r="D68" i="48"/>
  <c r="D67" i="48"/>
  <c r="D66" i="48"/>
  <c r="D65" i="48"/>
  <c r="D64" i="48"/>
  <c r="D63" i="48"/>
  <c r="D62" i="48"/>
  <c r="D61" i="48"/>
  <c r="D60" i="48"/>
  <c r="D59" i="48"/>
  <c r="D58" i="48"/>
  <c r="D57" i="48"/>
  <c r="D56" i="48"/>
  <c r="D55" i="48"/>
  <c r="D54" i="48"/>
  <c r="D53" i="48"/>
  <c r="D52" i="48"/>
  <c r="D51" i="48"/>
  <c r="D50" i="48"/>
  <c r="D49" i="48"/>
  <c r="D48" i="48"/>
  <c r="D47" i="48"/>
  <c r="D46" i="48"/>
  <c r="D45" i="48"/>
  <c r="D44" i="48"/>
  <c r="D40" i="48"/>
  <c r="D39" i="48"/>
  <c r="D38" i="48"/>
  <c r="D37" i="48"/>
  <c r="D36" i="48"/>
  <c r="D35" i="48"/>
  <c r="D34" i="48"/>
  <c r="D33" i="48"/>
  <c r="S75" i="52"/>
  <c r="S74" i="52"/>
  <c r="S73" i="52"/>
  <c r="S72" i="52"/>
  <c r="S71" i="52"/>
  <c r="S70" i="52"/>
  <c r="S69" i="52"/>
  <c r="S68" i="52"/>
  <c r="S67" i="52"/>
  <c r="S66" i="52"/>
  <c r="S65" i="52"/>
  <c r="S64" i="52"/>
  <c r="S63" i="52"/>
  <c r="S62" i="52"/>
  <c r="S61" i="52"/>
  <c r="S60" i="52"/>
  <c r="S59" i="52"/>
  <c r="S58" i="52"/>
  <c r="S57" i="52"/>
  <c r="S56" i="52"/>
  <c r="S55" i="52"/>
  <c r="S54" i="52"/>
  <c r="S53" i="52"/>
  <c r="S52" i="52"/>
  <c r="S51" i="52"/>
  <c r="S50" i="52"/>
  <c r="S49" i="52"/>
  <c r="S48" i="52"/>
  <c r="S47" i="52"/>
  <c r="S46" i="52"/>
  <c r="S45" i="52"/>
  <c r="S44" i="52"/>
  <c r="S40" i="52"/>
  <c r="S39" i="52"/>
  <c r="S38" i="52"/>
  <c r="S37" i="52"/>
  <c r="S36" i="52"/>
  <c r="S35" i="52"/>
  <c r="S34" i="52"/>
  <c r="S33" i="52"/>
  <c r="N75" i="52"/>
  <c r="N74" i="52"/>
  <c r="N73" i="52"/>
  <c r="N72" i="52"/>
  <c r="N71" i="52"/>
  <c r="N70" i="52"/>
  <c r="N69" i="52"/>
  <c r="N68" i="52"/>
  <c r="N67" i="52"/>
  <c r="N66" i="52"/>
  <c r="N65" i="52"/>
  <c r="N64" i="52"/>
  <c r="N63" i="52"/>
  <c r="N62" i="52"/>
  <c r="N61" i="52"/>
  <c r="N60" i="52"/>
  <c r="N59" i="52"/>
  <c r="N58" i="52"/>
  <c r="N57" i="52"/>
  <c r="N56" i="52"/>
  <c r="N55" i="52"/>
  <c r="N54" i="52"/>
  <c r="N53" i="52"/>
  <c r="N52" i="52"/>
  <c r="N51" i="52"/>
  <c r="N50" i="52"/>
  <c r="N49" i="52"/>
  <c r="N48" i="52"/>
  <c r="N47" i="52"/>
  <c r="N46" i="52"/>
  <c r="N45" i="52"/>
  <c r="N44" i="52"/>
  <c r="N40" i="52"/>
  <c r="N39" i="52"/>
  <c r="N38" i="52"/>
  <c r="N37" i="52"/>
  <c r="N36" i="52"/>
  <c r="N35" i="52"/>
  <c r="N34" i="52"/>
  <c r="N33" i="52"/>
  <c r="I75" i="52"/>
  <c r="I74" i="52"/>
  <c r="I73" i="52"/>
  <c r="I72" i="52"/>
  <c r="I71" i="52"/>
  <c r="I70" i="52"/>
  <c r="I69" i="52"/>
  <c r="I68" i="52"/>
  <c r="I67" i="52"/>
  <c r="I66" i="52"/>
  <c r="I65" i="52"/>
  <c r="I64" i="52"/>
  <c r="I63" i="52"/>
  <c r="I62" i="52"/>
  <c r="I61" i="52"/>
  <c r="I60" i="52"/>
  <c r="I59" i="52"/>
  <c r="I58" i="52"/>
  <c r="I57" i="52"/>
  <c r="I56" i="52"/>
  <c r="I55" i="52"/>
  <c r="I54" i="52"/>
  <c r="I53" i="52"/>
  <c r="I52" i="52"/>
  <c r="I51" i="52"/>
  <c r="I50" i="52"/>
  <c r="I49" i="52"/>
  <c r="I48" i="52"/>
  <c r="I47" i="52"/>
  <c r="I46" i="52"/>
  <c r="I45" i="52"/>
  <c r="I44" i="52"/>
  <c r="I40" i="52"/>
  <c r="I39" i="52"/>
  <c r="I38" i="52"/>
  <c r="I37" i="52"/>
  <c r="I36" i="52"/>
  <c r="I35" i="52"/>
  <c r="I34" i="52"/>
  <c r="I33" i="52"/>
  <c r="D75" i="52"/>
  <c r="D74" i="52"/>
  <c r="D73" i="52"/>
  <c r="D72" i="52"/>
  <c r="D71" i="52"/>
  <c r="D70" i="52"/>
  <c r="D69" i="52"/>
  <c r="D68" i="52"/>
  <c r="D67" i="52"/>
  <c r="D66" i="52"/>
  <c r="D65" i="52"/>
  <c r="D64" i="52"/>
  <c r="D63" i="52"/>
  <c r="D62" i="52"/>
  <c r="D61" i="52"/>
  <c r="D60" i="52"/>
  <c r="D59" i="52"/>
  <c r="D58" i="52"/>
  <c r="D57" i="52"/>
  <c r="D56" i="52"/>
  <c r="D55" i="52"/>
  <c r="D54" i="52"/>
  <c r="D53" i="52"/>
  <c r="D52" i="52"/>
  <c r="D51" i="52"/>
  <c r="D50" i="52"/>
  <c r="D48" i="52"/>
  <c r="D47" i="52"/>
  <c r="D46" i="52"/>
  <c r="D45" i="52"/>
  <c r="D40" i="52"/>
  <c r="D39" i="52"/>
  <c r="D38" i="52"/>
  <c r="D37" i="52"/>
  <c r="D36" i="52"/>
  <c r="D35" i="52"/>
  <c r="D34" i="52"/>
  <c r="D33" i="52"/>
  <c r="S75" i="55"/>
  <c r="S74" i="55"/>
  <c r="S73" i="55"/>
  <c r="S72" i="55"/>
  <c r="S71" i="55"/>
  <c r="S70" i="55"/>
  <c r="S69" i="55"/>
  <c r="S68" i="55"/>
  <c r="S67" i="55"/>
  <c r="S66" i="55"/>
  <c r="S65" i="55"/>
  <c r="S64" i="55"/>
  <c r="S63" i="55"/>
  <c r="S62" i="55"/>
  <c r="S61" i="55"/>
  <c r="S60" i="55"/>
  <c r="S59" i="55"/>
  <c r="S58" i="55"/>
  <c r="S57" i="55"/>
  <c r="S56" i="55"/>
  <c r="S55" i="55"/>
  <c r="S54" i="55"/>
  <c r="S53" i="55"/>
  <c r="S52" i="55"/>
  <c r="S51" i="55"/>
  <c r="S50" i="55"/>
  <c r="S49" i="55"/>
  <c r="S48" i="55"/>
  <c r="S47" i="55"/>
  <c r="S46" i="55"/>
  <c r="S45" i="55"/>
  <c r="S44" i="55"/>
  <c r="S40" i="55"/>
  <c r="S39" i="55"/>
  <c r="S38" i="55"/>
  <c r="S37" i="55"/>
  <c r="S36" i="55"/>
  <c r="S35" i="55"/>
  <c r="S34" i="55"/>
  <c r="S33" i="55"/>
  <c r="N44" i="55"/>
  <c r="N40" i="55"/>
  <c r="N39" i="55"/>
  <c r="N38" i="55"/>
  <c r="N37" i="55"/>
  <c r="N36" i="55"/>
  <c r="N35" i="55"/>
  <c r="N34" i="55"/>
  <c r="N33" i="55"/>
  <c r="I40" i="55"/>
  <c r="I39" i="55"/>
  <c r="I38" i="55"/>
  <c r="I37" i="55"/>
  <c r="I36" i="55"/>
  <c r="I35" i="55"/>
  <c r="I34" i="55"/>
  <c r="I33" i="55"/>
  <c r="D40" i="55"/>
  <c r="D39" i="55"/>
  <c r="D38" i="55"/>
  <c r="D37" i="55"/>
  <c r="D36" i="55"/>
  <c r="D35" i="55"/>
  <c r="D34" i="55"/>
  <c r="D33" i="55"/>
  <c r="S75" i="61"/>
  <c r="S74" i="61"/>
  <c r="S73" i="61"/>
  <c r="S72" i="61"/>
  <c r="S71" i="61"/>
  <c r="S70" i="61"/>
  <c r="S69" i="61"/>
  <c r="S68" i="61"/>
  <c r="S67" i="61"/>
  <c r="S66" i="61"/>
  <c r="S65" i="61"/>
  <c r="S64" i="61"/>
  <c r="S63" i="61"/>
  <c r="S62" i="61"/>
  <c r="S61" i="61"/>
  <c r="S60" i="61"/>
  <c r="S59" i="61"/>
  <c r="S58" i="61"/>
  <c r="S57" i="61"/>
  <c r="S56" i="61"/>
  <c r="S55" i="61"/>
  <c r="S54" i="61"/>
  <c r="S53" i="61"/>
  <c r="S52" i="61"/>
  <c r="S51" i="61"/>
  <c r="S50" i="61"/>
  <c r="S49" i="61"/>
  <c r="S48" i="61"/>
  <c r="S47" i="61"/>
  <c r="S46" i="61"/>
  <c r="S45" i="61"/>
  <c r="S44" i="61"/>
  <c r="S40" i="61"/>
  <c r="S39" i="61"/>
  <c r="S38" i="61"/>
  <c r="S37" i="61"/>
  <c r="S36" i="61"/>
  <c r="S35" i="61"/>
  <c r="S34" i="61"/>
  <c r="S33" i="61"/>
  <c r="J54" i="61"/>
  <c r="J51" i="61"/>
  <c r="I44" i="61"/>
  <c r="E54" i="61"/>
  <c r="E51" i="61"/>
  <c r="D44" i="61"/>
  <c r="D33" i="61"/>
  <c r="S75" i="45"/>
  <c r="S74" i="45"/>
  <c r="S73" i="45"/>
  <c r="S72" i="45"/>
  <c r="S70" i="45"/>
  <c r="S69" i="45"/>
  <c r="S68" i="45"/>
  <c r="S67" i="45"/>
  <c r="S66" i="45"/>
  <c r="S65" i="45"/>
  <c r="S64" i="45"/>
  <c r="S62" i="45"/>
  <c r="S61" i="45"/>
  <c r="S60" i="45"/>
  <c r="S59" i="45"/>
  <c r="S58" i="45"/>
  <c r="S57" i="45"/>
  <c r="S56" i="45"/>
  <c r="S55" i="45"/>
  <c r="S54" i="45"/>
  <c r="S53" i="45"/>
  <c r="S52" i="45"/>
  <c r="S51" i="45"/>
  <c r="S50" i="45"/>
  <c r="S49" i="45"/>
  <c r="S48" i="45"/>
  <c r="S47" i="45"/>
  <c r="S46" i="45"/>
  <c r="S45" i="45"/>
  <c r="S44" i="45"/>
  <c r="S40" i="45"/>
  <c r="S39" i="45"/>
  <c r="S38" i="45"/>
  <c r="S37" i="45"/>
  <c r="S36" i="45"/>
  <c r="S35" i="45"/>
  <c r="S34" i="45"/>
  <c r="S33" i="45"/>
  <c r="N44" i="45"/>
  <c r="N33" i="45"/>
  <c r="I44" i="45"/>
  <c r="I33" i="45"/>
  <c r="D44" i="45"/>
  <c r="D33" i="45"/>
  <c r="D76" i="52" l="1"/>
  <c r="N41" i="48"/>
  <c r="S80" i="61"/>
  <c r="N75" i="61"/>
  <c r="N74" i="61"/>
  <c r="N72" i="61"/>
  <c r="N71" i="61"/>
  <c r="N70" i="61"/>
  <c r="N69" i="61"/>
  <c r="N68" i="61"/>
  <c r="N67" i="61"/>
  <c r="N66" i="61"/>
  <c r="N65" i="61"/>
  <c r="N64" i="61"/>
  <c r="N63" i="61"/>
  <c r="N62" i="61"/>
  <c r="N61" i="61"/>
  <c r="N60" i="61"/>
  <c r="N59" i="61"/>
  <c r="N58" i="61"/>
  <c r="N57" i="61"/>
  <c r="N56" i="61"/>
  <c r="N55" i="61"/>
  <c r="N54" i="61"/>
  <c r="N53" i="61"/>
  <c r="N52" i="61"/>
  <c r="N51" i="61"/>
  <c r="N50" i="61"/>
  <c r="N49" i="61"/>
  <c r="N48" i="61"/>
  <c r="N47" i="61"/>
  <c r="N46" i="61"/>
  <c r="N45" i="61"/>
  <c r="N44" i="61"/>
  <c r="I27" i="61"/>
  <c r="E33" i="55" l="1"/>
  <c r="E40" i="55"/>
  <c r="E39" i="55"/>
  <c r="E38" i="55"/>
  <c r="E37" i="55"/>
  <c r="E36" i="55"/>
  <c r="E35" i="55"/>
  <c r="E34" i="55"/>
  <c r="E40" i="61"/>
  <c r="E39" i="61"/>
  <c r="E38" i="61"/>
  <c r="E37" i="61"/>
  <c r="E36" i="61"/>
  <c r="E35" i="61"/>
  <c r="E34" i="61"/>
  <c r="E33" i="61"/>
  <c r="D41" i="55" l="1"/>
  <c r="D76" i="61" l="1"/>
  <c r="E45" i="45"/>
  <c r="E33" i="45"/>
  <c r="S14" i="45" l="1"/>
  <c r="V76" i="67" l="1"/>
  <c r="AA76" i="67"/>
  <c r="AA76" i="55" l="1"/>
  <c r="Y51" i="65" l="1"/>
  <c r="Y52" i="65"/>
  <c r="Y53" i="65"/>
  <c r="T51" i="65"/>
  <c r="T52" i="65"/>
  <c r="T53" i="65"/>
  <c r="O34" i="68"/>
  <c r="O35" i="68"/>
  <c r="O36" i="68"/>
  <c r="O37" i="68"/>
  <c r="O38" i="68"/>
  <c r="O39" i="68"/>
  <c r="J50" i="68"/>
  <c r="J51" i="68"/>
  <c r="J52" i="68"/>
  <c r="J53" i="68"/>
  <c r="J54" i="68"/>
  <c r="J55" i="68"/>
  <c r="J56" i="68"/>
  <c r="J57" i="68"/>
  <c r="J58" i="68"/>
  <c r="J59" i="68"/>
  <c r="J60" i="68"/>
  <c r="J61" i="68"/>
  <c r="J62" i="68"/>
  <c r="J63" i="68"/>
  <c r="J64" i="68"/>
  <c r="J65" i="68"/>
  <c r="J66" i="68"/>
  <c r="J67" i="68"/>
  <c r="J68" i="68"/>
  <c r="J69" i="68"/>
  <c r="J70" i="68"/>
  <c r="J71" i="68"/>
  <c r="O67" i="68"/>
  <c r="O68" i="68"/>
  <c r="O69" i="68"/>
  <c r="O70" i="68"/>
  <c r="O71" i="68"/>
  <c r="O72" i="68"/>
  <c r="O73" i="68"/>
  <c r="O74" i="68"/>
  <c r="O75" i="68"/>
  <c r="O66" i="68"/>
  <c r="W39" i="68"/>
  <c r="X39" i="68" s="1"/>
  <c r="W38" i="68"/>
  <c r="X44" i="67"/>
  <c r="E46" i="53"/>
  <c r="E47" i="53"/>
  <c r="E48" i="53"/>
  <c r="E49" i="53"/>
  <c r="E44" i="53"/>
  <c r="X45" i="58"/>
  <c r="X46" i="58"/>
  <c r="X47" i="58"/>
  <c r="X48" i="58"/>
  <c r="X49" i="58"/>
  <c r="X50" i="58"/>
  <c r="X51" i="58"/>
  <c r="X52" i="58"/>
  <c r="X53" i="58"/>
  <c r="X54" i="58"/>
  <c r="X55" i="58"/>
  <c r="X56" i="58"/>
  <c r="X57" i="58"/>
  <c r="X58" i="58"/>
  <c r="X59" i="58"/>
  <c r="X60" i="58"/>
  <c r="X61" i="58"/>
  <c r="X62" i="58"/>
  <c r="X63" i="58"/>
  <c r="X64" i="58"/>
  <c r="X65" i="58"/>
  <c r="X66" i="58"/>
  <c r="X67" i="58"/>
  <c r="X68" i="58"/>
  <c r="X69" i="58"/>
  <c r="X70" i="58"/>
  <c r="X71" i="58"/>
  <c r="X72" i="58"/>
  <c r="X73" i="58"/>
  <c r="X74" i="58"/>
  <c r="X75" i="58"/>
  <c r="X44" i="58"/>
  <c r="W34" i="58"/>
  <c r="X34" i="58" s="1"/>
  <c r="W35" i="58"/>
  <c r="X35" i="58" s="1"/>
  <c r="W36" i="58"/>
  <c r="X36" i="58" s="1"/>
  <c r="W37" i="58"/>
  <c r="X37" i="58" s="1"/>
  <c r="X38" i="58"/>
  <c r="W39" i="58"/>
  <c r="X39" i="58" s="1"/>
  <c r="W40" i="58"/>
  <c r="X40" i="58" s="1"/>
  <c r="X33" i="58"/>
  <c r="L67" i="40" l="1"/>
  <c r="L68" i="40"/>
  <c r="L69" i="40"/>
  <c r="L66" i="40"/>
  <c r="L61" i="40"/>
  <c r="L60" i="40"/>
  <c r="L49" i="40"/>
  <c r="L50" i="40"/>
  <c r="L51" i="40"/>
  <c r="L52" i="40"/>
  <c r="L53" i="40"/>
  <c r="L54" i="40"/>
  <c r="L55" i="40"/>
  <c r="L56" i="40"/>
  <c r="L48" i="40"/>
  <c r="L41" i="40"/>
  <c r="L34" i="40"/>
  <c r="L35" i="40"/>
  <c r="L36" i="40"/>
  <c r="L37" i="40"/>
  <c r="L38" i="40"/>
  <c r="L33" i="40"/>
  <c r="L24" i="40"/>
  <c r="L25" i="40"/>
  <c r="L26" i="40"/>
  <c r="L27" i="40"/>
  <c r="L28" i="40"/>
  <c r="L29" i="40"/>
  <c r="L23" i="40"/>
  <c r="L15" i="40"/>
  <c r="L16" i="40"/>
  <c r="L17" i="40"/>
  <c r="L18" i="40"/>
  <c r="L19" i="40"/>
  <c r="L14" i="40"/>
  <c r="K67" i="40"/>
  <c r="K68" i="40"/>
  <c r="K69" i="40"/>
  <c r="K66" i="40"/>
  <c r="K61" i="40"/>
  <c r="K60" i="40"/>
  <c r="K49" i="40"/>
  <c r="K50" i="40"/>
  <c r="K51" i="40"/>
  <c r="K52" i="40"/>
  <c r="K53" i="40"/>
  <c r="K54" i="40"/>
  <c r="K55" i="40"/>
  <c r="K56" i="40"/>
  <c r="K48" i="40"/>
  <c r="K41" i="40"/>
  <c r="K34" i="40"/>
  <c r="K35" i="40"/>
  <c r="K36" i="40"/>
  <c r="K37" i="40"/>
  <c r="K38" i="40"/>
  <c r="K33" i="40"/>
  <c r="K24" i="40"/>
  <c r="K25" i="40"/>
  <c r="K26" i="40"/>
  <c r="K27" i="40"/>
  <c r="K28" i="40"/>
  <c r="K29" i="40"/>
  <c r="K23" i="40"/>
  <c r="K15" i="40"/>
  <c r="K16" i="40"/>
  <c r="K17" i="40"/>
  <c r="K18" i="40"/>
  <c r="K19" i="40"/>
  <c r="K14" i="40"/>
  <c r="J67" i="40"/>
  <c r="J68" i="40"/>
  <c r="J69" i="40"/>
  <c r="J66" i="40"/>
  <c r="J61" i="40"/>
  <c r="J60" i="40"/>
  <c r="I61" i="40"/>
  <c r="J49" i="40"/>
  <c r="J50" i="40"/>
  <c r="J51" i="40"/>
  <c r="J52" i="40"/>
  <c r="J53" i="40"/>
  <c r="J54" i="40"/>
  <c r="J55" i="40"/>
  <c r="J56" i="40"/>
  <c r="J48" i="40"/>
  <c r="J41" i="40"/>
  <c r="D70" i="49"/>
  <c r="D63" i="49"/>
  <c r="D57" i="49"/>
  <c r="C39" i="49"/>
  <c r="B30" i="49"/>
  <c r="C30" i="49"/>
  <c r="B20" i="49"/>
  <c r="C20" i="49"/>
  <c r="D20" i="49"/>
  <c r="E20" i="49"/>
  <c r="F39" i="49"/>
  <c r="F30" i="49"/>
  <c r="F20" i="49"/>
  <c r="J17" i="27" s="1"/>
  <c r="J15" i="40"/>
  <c r="J16" i="40"/>
  <c r="J17" i="40"/>
  <c r="J18" i="40"/>
  <c r="J19" i="40"/>
  <c r="J14" i="40"/>
  <c r="J34" i="40"/>
  <c r="J35" i="40"/>
  <c r="J36" i="40"/>
  <c r="J37" i="40"/>
  <c r="J38" i="40"/>
  <c r="J33" i="40"/>
  <c r="J24" i="40"/>
  <c r="J25" i="40"/>
  <c r="J26" i="40"/>
  <c r="J27" i="40"/>
  <c r="J28" i="40"/>
  <c r="J29" i="40"/>
  <c r="J23" i="40"/>
  <c r="I17" i="40"/>
  <c r="I67" i="40"/>
  <c r="I68" i="40"/>
  <c r="I69" i="40"/>
  <c r="I66" i="40"/>
  <c r="I70" i="40" s="1"/>
  <c r="I60" i="40"/>
  <c r="I49" i="40"/>
  <c r="I50" i="40"/>
  <c r="I51" i="40"/>
  <c r="I52" i="40"/>
  <c r="I53" i="40"/>
  <c r="I54" i="40"/>
  <c r="I55" i="40"/>
  <c r="I56" i="40"/>
  <c r="I48" i="40"/>
  <c r="I41" i="40"/>
  <c r="I34" i="40"/>
  <c r="I35" i="40"/>
  <c r="I36" i="40"/>
  <c r="I37" i="40"/>
  <c r="I38" i="40"/>
  <c r="I33" i="40"/>
  <c r="I24" i="40"/>
  <c r="I25" i="40"/>
  <c r="I26" i="40"/>
  <c r="I27" i="40"/>
  <c r="I28" i="40"/>
  <c r="I29" i="40"/>
  <c r="I23" i="40"/>
  <c r="I15" i="40"/>
  <c r="I16" i="40"/>
  <c r="I18" i="40"/>
  <c r="I19" i="40"/>
  <c r="I14" i="40"/>
  <c r="H67" i="40"/>
  <c r="H68" i="40"/>
  <c r="H69" i="40"/>
  <c r="H66" i="40"/>
  <c r="H61" i="40"/>
  <c r="H60" i="40"/>
  <c r="H49" i="40"/>
  <c r="H50" i="40"/>
  <c r="H51" i="40"/>
  <c r="H52" i="40"/>
  <c r="H53" i="40"/>
  <c r="H54" i="40"/>
  <c r="H55" i="40"/>
  <c r="H56" i="40"/>
  <c r="H48" i="40"/>
  <c r="H41" i="40"/>
  <c r="H34" i="40"/>
  <c r="H35" i="40"/>
  <c r="H36" i="40"/>
  <c r="H37" i="40"/>
  <c r="H38" i="40"/>
  <c r="H33" i="40"/>
  <c r="H24" i="40"/>
  <c r="H25" i="40"/>
  <c r="H26" i="40"/>
  <c r="H27" i="40"/>
  <c r="H28" i="40"/>
  <c r="H29" i="40"/>
  <c r="H23" i="40"/>
  <c r="H15" i="40"/>
  <c r="H16" i="40"/>
  <c r="H17" i="40"/>
  <c r="H18" i="40"/>
  <c r="H19" i="40"/>
  <c r="G67" i="40"/>
  <c r="G68" i="40"/>
  <c r="G69" i="40"/>
  <c r="G66" i="40"/>
  <c r="G61" i="40"/>
  <c r="G60" i="40"/>
  <c r="G49" i="40"/>
  <c r="G50" i="40"/>
  <c r="G51" i="40"/>
  <c r="G52" i="40"/>
  <c r="G53" i="40"/>
  <c r="G54" i="40"/>
  <c r="G55" i="40"/>
  <c r="G56" i="40"/>
  <c r="G48" i="40"/>
  <c r="G41" i="40"/>
  <c r="G34" i="40"/>
  <c r="G35" i="40"/>
  <c r="G36" i="40"/>
  <c r="G37" i="40"/>
  <c r="G38" i="40"/>
  <c r="G33" i="40"/>
  <c r="G24" i="40"/>
  <c r="G25" i="40"/>
  <c r="G26" i="40"/>
  <c r="G27" i="40"/>
  <c r="G28" i="40"/>
  <c r="G29" i="40"/>
  <c r="G23" i="40"/>
  <c r="G15" i="40"/>
  <c r="G16" i="40"/>
  <c r="G17" i="40"/>
  <c r="G18" i="40"/>
  <c r="G19" i="40"/>
  <c r="G14" i="40"/>
  <c r="H20" i="40" l="1"/>
  <c r="G20" i="40"/>
  <c r="D72" i="49"/>
  <c r="B43" i="49"/>
  <c r="J70" i="40"/>
  <c r="J57" i="40"/>
  <c r="J30" i="40"/>
  <c r="J20" i="40"/>
  <c r="J39" i="40"/>
  <c r="F67" i="40"/>
  <c r="F68" i="40"/>
  <c r="F69" i="40"/>
  <c r="F66" i="40"/>
  <c r="F61" i="40"/>
  <c r="F60" i="40"/>
  <c r="F49" i="40"/>
  <c r="F50" i="40"/>
  <c r="F51" i="40"/>
  <c r="F52" i="40"/>
  <c r="F53" i="40"/>
  <c r="F54" i="40"/>
  <c r="F55" i="40"/>
  <c r="F56" i="40"/>
  <c r="F48" i="40"/>
  <c r="F41" i="40"/>
  <c r="F34" i="40"/>
  <c r="F35" i="40"/>
  <c r="F36" i="40"/>
  <c r="F37" i="40"/>
  <c r="F38" i="40"/>
  <c r="F33" i="40"/>
  <c r="F24" i="40"/>
  <c r="F25" i="40"/>
  <c r="F26" i="40"/>
  <c r="F27" i="40"/>
  <c r="F28" i="40"/>
  <c r="F29" i="40"/>
  <c r="F23" i="40"/>
  <c r="F15" i="40"/>
  <c r="F16" i="40"/>
  <c r="F17" i="40"/>
  <c r="F18" i="40"/>
  <c r="F19" i="40"/>
  <c r="F14" i="40"/>
  <c r="E67" i="40"/>
  <c r="E68" i="40"/>
  <c r="E69" i="40"/>
  <c r="E66" i="40"/>
  <c r="E61" i="40"/>
  <c r="E60" i="40"/>
  <c r="E49" i="40"/>
  <c r="E50" i="40"/>
  <c r="E51" i="40"/>
  <c r="E52" i="40"/>
  <c r="E53" i="40"/>
  <c r="E54" i="40"/>
  <c r="E55" i="40"/>
  <c r="E56" i="40"/>
  <c r="E48" i="40"/>
  <c r="E41" i="40"/>
  <c r="E34" i="40"/>
  <c r="E35" i="40"/>
  <c r="E36" i="40"/>
  <c r="E37" i="40"/>
  <c r="E38" i="40"/>
  <c r="E33" i="40"/>
  <c r="E24" i="40"/>
  <c r="E25" i="40"/>
  <c r="E26" i="40"/>
  <c r="E27" i="40"/>
  <c r="E28" i="40"/>
  <c r="E29" i="40"/>
  <c r="E23" i="40"/>
  <c r="E15" i="40"/>
  <c r="E16" i="40"/>
  <c r="E17" i="40"/>
  <c r="E18" i="40"/>
  <c r="E19" i="40"/>
  <c r="E14" i="40"/>
  <c r="D69" i="40"/>
  <c r="D67" i="40"/>
  <c r="D68" i="40"/>
  <c r="D66" i="40"/>
  <c r="D61" i="40"/>
  <c r="D60" i="40"/>
  <c r="D49" i="40"/>
  <c r="D50" i="40"/>
  <c r="D51" i="40"/>
  <c r="D52" i="40"/>
  <c r="D53" i="40"/>
  <c r="D54" i="40"/>
  <c r="D55" i="40"/>
  <c r="D48" i="40"/>
  <c r="D41" i="40"/>
  <c r="D34" i="40"/>
  <c r="D35" i="40"/>
  <c r="D36" i="40"/>
  <c r="D37" i="40"/>
  <c r="D38" i="40"/>
  <c r="D24" i="40"/>
  <c r="D25" i="40"/>
  <c r="D26" i="40"/>
  <c r="D27" i="40"/>
  <c r="D28" i="40"/>
  <c r="D29" i="40"/>
  <c r="D23" i="40"/>
  <c r="D15" i="40"/>
  <c r="D16" i="40"/>
  <c r="D17" i="40"/>
  <c r="D18" i="40"/>
  <c r="D19" i="40"/>
  <c r="D14" i="40"/>
  <c r="C67" i="40"/>
  <c r="B67" i="40" s="1"/>
  <c r="C68" i="40"/>
  <c r="B68" i="40" s="1"/>
  <c r="C69" i="40"/>
  <c r="B69" i="40" s="1"/>
  <c r="C66" i="40"/>
  <c r="B66" i="40" s="1"/>
  <c r="C61" i="40"/>
  <c r="B61" i="40" s="1"/>
  <c r="C60" i="40"/>
  <c r="B60" i="40" s="1"/>
  <c r="C49" i="40"/>
  <c r="B49" i="40" s="1"/>
  <c r="C50" i="40"/>
  <c r="C51" i="40"/>
  <c r="C52" i="40"/>
  <c r="C53" i="40"/>
  <c r="C54" i="40"/>
  <c r="C55" i="40"/>
  <c r="C56" i="40"/>
  <c r="C48" i="40"/>
  <c r="C41" i="40"/>
  <c r="C34" i="40"/>
  <c r="C35" i="40"/>
  <c r="C36" i="40"/>
  <c r="C37" i="40"/>
  <c r="C38" i="40"/>
  <c r="C33" i="40"/>
  <c r="B33" i="40" s="1"/>
  <c r="C24" i="40"/>
  <c r="B24" i="40" s="1"/>
  <c r="C25" i="40"/>
  <c r="B25" i="40" s="1"/>
  <c r="C26" i="40"/>
  <c r="B26" i="40" s="1"/>
  <c r="C27" i="40"/>
  <c r="B27" i="40" s="1"/>
  <c r="C28" i="40"/>
  <c r="B28" i="40" s="1"/>
  <c r="C29" i="40"/>
  <c r="C23" i="40"/>
  <c r="C15" i="40"/>
  <c r="C16" i="40"/>
  <c r="C17" i="40"/>
  <c r="C18" i="40"/>
  <c r="C19" i="40"/>
  <c r="B37" i="40" l="1"/>
  <c r="B36" i="40"/>
  <c r="B41" i="40"/>
  <c r="B19" i="40"/>
  <c r="B48" i="40"/>
  <c r="B18" i="40"/>
  <c r="B55" i="40"/>
  <c r="B38" i="40"/>
  <c r="B14" i="40"/>
  <c r="B17" i="40"/>
  <c r="B16" i="40"/>
  <c r="B35" i="40"/>
  <c r="B54" i="40"/>
  <c r="B15" i="40"/>
  <c r="B52" i="40"/>
  <c r="B34" i="40"/>
  <c r="B53" i="40"/>
  <c r="B23" i="40"/>
  <c r="B51" i="40"/>
  <c r="B29" i="40"/>
  <c r="B50" i="40"/>
  <c r="J43" i="40"/>
  <c r="V14" i="68"/>
  <c r="W14" i="68"/>
  <c r="V15" i="68"/>
  <c r="W15" i="68"/>
  <c r="V17" i="68"/>
  <c r="W17" i="68"/>
  <c r="V18" i="68"/>
  <c r="W18" i="68"/>
  <c r="W20" i="68"/>
  <c r="W21" i="68"/>
  <c r="V22" i="68"/>
  <c r="W22" i="68"/>
  <c r="X22" i="68" s="1"/>
  <c r="Y22" i="68" s="1"/>
  <c r="V23" i="68"/>
  <c r="W23" i="68"/>
  <c r="V24" i="68"/>
  <c r="W24" i="68"/>
  <c r="C20" i="69"/>
  <c r="D20" i="69"/>
  <c r="E20" i="69"/>
  <c r="F20" i="69"/>
  <c r="B20" i="69"/>
  <c r="X45" i="67"/>
  <c r="X46" i="67"/>
  <c r="X47" i="67"/>
  <c r="X48" i="67"/>
  <c r="X49" i="67"/>
  <c r="X50" i="67"/>
  <c r="X51" i="67"/>
  <c r="X52" i="67"/>
  <c r="X53" i="67"/>
  <c r="X54" i="67"/>
  <c r="X55" i="67"/>
  <c r="X56" i="67"/>
  <c r="X57" i="67"/>
  <c r="X58" i="67"/>
  <c r="X59" i="67"/>
  <c r="X60" i="67"/>
  <c r="X61" i="67"/>
  <c r="X62" i="67"/>
  <c r="X63" i="67"/>
  <c r="X64" i="67"/>
  <c r="X65" i="67"/>
  <c r="X66" i="67"/>
  <c r="X67" i="67"/>
  <c r="X68" i="67"/>
  <c r="X69" i="67"/>
  <c r="X71" i="67"/>
  <c r="X72" i="67"/>
  <c r="X74" i="67"/>
  <c r="X75" i="67"/>
  <c r="C57" i="66"/>
  <c r="C70" i="66"/>
  <c r="B70" i="66"/>
  <c r="AA76" i="65"/>
  <c r="W76" i="65"/>
  <c r="R76" i="65"/>
  <c r="V76" i="65"/>
  <c r="C70" i="64"/>
  <c r="D70" i="64"/>
  <c r="E70" i="64"/>
  <c r="F70" i="64"/>
  <c r="B70" i="64"/>
  <c r="B70" i="49"/>
  <c r="C63" i="64"/>
  <c r="D63" i="64"/>
  <c r="E63" i="64"/>
  <c r="F63" i="64"/>
  <c r="B63" i="64"/>
  <c r="B63" i="49"/>
  <c r="C57" i="64"/>
  <c r="C72" i="64" s="1"/>
  <c r="D57" i="64"/>
  <c r="D72" i="64" s="1"/>
  <c r="E57" i="64"/>
  <c r="F57" i="64"/>
  <c r="B57" i="64"/>
  <c r="C39" i="64"/>
  <c r="C43" i="64" s="1"/>
  <c r="D39" i="64"/>
  <c r="E39" i="64"/>
  <c r="F39" i="64"/>
  <c r="B39" i="64"/>
  <c r="C30" i="64"/>
  <c r="D30" i="64"/>
  <c r="E30" i="64"/>
  <c r="F30" i="64"/>
  <c r="B30" i="64"/>
  <c r="C20" i="64"/>
  <c r="D20" i="64"/>
  <c r="E20" i="64"/>
  <c r="F20" i="64"/>
  <c r="K17" i="27" s="1"/>
  <c r="B20" i="64"/>
  <c r="B43" i="64" s="1"/>
  <c r="K13" i="27" l="1"/>
  <c r="F43" i="64"/>
  <c r="AB73" i="67"/>
  <c r="X73" i="67"/>
  <c r="B72" i="64"/>
  <c r="D43" i="64"/>
  <c r="F72" i="64"/>
  <c r="E72" i="64"/>
  <c r="E43" i="64"/>
  <c r="B70" i="40"/>
  <c r="W76" i="67"/>
  <c r="E70" i="49"/>
  <c r="F70" i="49"/>
  <c r="C70" i="49"/>
  <c r="D70" i="57"/>
  <c r="B70" i="57"/>
  <c r="AA76" i="52" l="1"/>
  <c r="B76" i="52"/>
  <c r="C76" i="52"/>
  <c r="W80" i="52"/>
  <c r="V80" i="52"/>
  <c r="V75" i="52"/>
  <c r="V74" i="52"/>
  <c r="V73" i="52"/>
  <c r="V72" i="52"/>
  <c r="V71" i="52"/>
  <c r="V70" i="52"/>
  <c r="V69" i="52"/>
  <c r="V68" i="52"/>
  <c r="V67" i="52"/>
  <c r="V66" i="52"/>
  <c r="V65" i="52"/>
  <c r="V64" i="52"/>
  <c r="V63" i="52"/>
  <c r="V62" i="52"/>
  <c r="V61" i="52"/>
  <c r="V60" i="52"/>
  <c r="V59" i="52"/>
  <c r="V58" i="52"/>
  <c r="V57" i="52"/>
  <c r="V56" i="52"/>
  <c r="V55" i="52"/>
  <c r="V54" i="52"/>
  <c r="V53" i="52"/>
  <c r="V52" i="52"/>
  <c r="V51" i="52"/>
  <c r="X51" i="52" s="1"/>
  <c r="V50" i="52"/>
  <c r="V49" i="52"/>
  <c r="V48" i="52"/>
  <c r="V47" i="52"/>
  <c r="V46" i="52"/>
  <c r="V45" i="52"/>
  <c r="V40" i="52"/>
  <c r="V39" i="52"/>
  <c r="V38" i="52"/>
  <c r="V37" i="52"/>
  <c r="V36" i="52"/>
  <c r="V35" i="52"/>
  <c r="V34" i="52"/>
  <c r="V33" i="52"/>
  <c r="W33" i="52"/>
  <c r="X33" i="52" l="1"/>
  <c r="J81" i="52"/>
  <c r="Z81" i="55" l="1"/>
  <c r="P81" i="55"/>
  <c r="U81" i="55"/>
  <c r="K81" i="55"/>
  <c r="F81" i="55"/>
  <c r="W75" i="55"/>
  <c r="V75" i="55"/>
  <c r="W74" i="55"/>
  <c r="V74" i="55"/>
  <c r="W73" i="55"/>
  <c r="V73" i="55"/>
  <c r="W72" i="55"/>
  <c r="V72" i="55"/>
  <c r="W71" i="55"/>
  <c r="V71" i="55"/>
  <c r="W70" i="55"/>
  <c r="V70" i="55"/>
  <c r="W69" i="55"/>
  <c r="V69" i="55"/>
  <c r="W68" i="55"/>
  <c r="V68" i="55"/>
  <c r="W67" i="55"/>
  <c r="V67" i="55"/>
  <c r="W66" i="55"/>
  <c r="V66" i="55"/>
  <c r="W65" i="55"/>
  <c r="V65" i="55"/>
  <c r="W64" i="55"/>
  <c r="V64" i="55"/>
  <c r="W63" i="55"/>
  <c r="V63" i="55"/>
  <c r="W62" i="55"/>
  <c r="V62" i="55"/>
  <c r="W61" i="55"/>
  <c r="V61" i="55"/>
  <c r="W60" i="55"/>
  <c r="V60" i="55"/>
  <c r="W59" i="55"/>
  <c r="V59" i="55"/>
  <c r="W58" i="55"/>
  <c r="V58" i="55"/>
  <c r="W57" i="55"/>
  <c r="V57" i="55"/>
  <c r="W56" i="55"/>
  <c r="V56" i="55"/>
  <c r="W55" i="55"/>
  <c r="V55" i="55"/>
  <c r="W54" i="55"/>
  <c r="V54" i="55"/>
  <c r="W53" i="55"/>
  <c r="V53" i="55"/>
  <c r="W52" i="55"/>
  <c r="V52" i="55"/>
  <c r="W51" i="55"/>
  <c r="V51" i="55"/>
  <c r="W50" i="55"/>
  <c r="V50" i="55"/>
  <c r="W49" i="55"/>
  <c r="V49" i="55"/>
  <c r="W48" i="55"/>
  <c r="V48" i="55"/>
  <c r="W47" i="55"/>
  <c r="V47" i="55"/>
  <c r="W46" i="55"/>
  <c r="V46" i="55"/>
  <c r="W40" i="55"/>
  <c r="X40" i="55" s="1"/>
  <c r="V40" i="55"/>
  <c r="W39" i="55"/>
  <c r="V39" i="55"/>
  <c r="W38" i="55"/>
  <c r="V38" i="55"/>
  <c r="W37" i="55"/>
  <c r="V37" i="55"/>
  <c r="W36" i="55"/>
  <c r="V36" i="55"/>
  <c r="W35" i="55"/>
  <c r="V35" i="55"/>
  <c r="W34" i="55"/>
  <c r="X34" i="55" s="1"/>
  <c r="V34" i="55"/>
  <c r="W33" i="55"/>
  <c r="V33" i="55"/>
  <c r="W27" i="55"/>
  <c r="V27" i="55"/>
  <c r="W23" i="55"/>
  <c r="V23" i="55"/>
  <c r="W22" i="55"/>
  <c r="V22" i="55"/>
  <c r="W21" i="55"/>
  <c r="V21" i="55"/>
  <c r="W20" i="55"/>
  <c r="V20" i="55"/>
  <c r="W19" i="55"/>
  <c r="V19" i="55"/>
  <c r="W18" i="55"/>
  <c r="V18" i="55"/>
  <c r="V17" i="55"/>
  <c r="X17" i="55" s="1"/>
  <c r="W16" i="55"/>
  <c r="V16" i="55"/>
  <c r="W15" i="55"/>
  <c r="V15" i="55"/>
  <c r="W14" i="55"/>
  <c r="AB14" i="55" s="1"/>
  <c r="S23" i="55"/>
  <c r="S22" i="55"/>
  <c r="S21" i="55"/>
  <c r="S20" i="55"/>
  <c r="S19" i="55"/>
  <c r="S18" i="55"/>
  <c r="S17" i="55"/>
  <c r="S16" i="55"/>
  <c r="S15" i="55"/>
  <c r="S14" i="55"/>
  <c r="S27" i="55"/>
  <c r="X68" i="55" l="1"/>
  <c r="AB68" i="55"/>
  <c r="X70" i="55"/>
  <c r="AB70" i="55"/>
  <c r="X51" i="55"/>
  <c r="AB51" i="55"/>
  <c r="X63" i="55"/>
  <c r="AB63" i="55"/>
  <c r="X49" i="55"/>
  <c r="AB49" i="55"/>
  <c r="X50" i="55"/>
  <c r="AB50" i="55"/>
  <c r="X61" i="55"/>
  <c r="AB61" i="55"/>
  <c r="X19" i="55"/>
  <c r="X48" i="55"/>
  <c r="AB48" i="55"/>
  <c r="X36" i="55"/>
  <c r="X52" i="55"/>
  <c r="AB52" i="55"/>
  <c r="X73" i="55"/>
  <c r="AB73" i="55"/>
  <c r="X39" i="55"/>
  <c r="X15" i="55"/>
  <c r="X60" i="55"/>
  <c r="AB60" i="55"/>
  <c r="X18" i="55"/>
  <c r="X37" i="55"/>
  <c r="X54" i="55"/>
  <c r="AB54" i="55"/>
  <c r="X66" i="55"/>
  <c r="AB66" i="55"/>
  <c r="X69" i="55"/>
  <c r="AB69" i="55"/>
  <c r="X62" i="55"/>
  <c r="AB62" i="55"/>
  <c r="AB38" i="55"/>
  <c r="AC38" i="55" s="1"/>
  <c r="X38" i="55"/>
  <c r="X74" i="55"/>
  <c r="AB74" i="55"/>
  <c r="X55" i="55"/>
  <c r="AB55" i="55"/>
  <c r="X58" i="55"/>
  <c r="AB58" i="55"/>
  <c r="X59" i="55"/>
  <c r="AB59" i="55"/>
  <c r="X20" i="55"/>
  <c r="X65" i="55"/>
  <c r="AB65" i="55"/>
  <c r="X16" i="55"/>
  <c r="X35" i="55"/>
  <c r="X71" i="55"/>
  <c r="AB71" i="55"/>
  <c r="X72" i="55"/>
  <c r="AB72" i="55"/>
  <c r="X53" i="55"/>
  <c r="AB53" i="55"/>
  <c r="X21" i="55"/>
  <c r="X64" i="55"/>
  <c r="AB64" i="55"/>
  <c r="X22" i="55"/>
  <c r="X75" i="55"/>
  <c r="AB75" i="55"/>
  <c r="X23" i="55"/>
  <c r="X46" i="55"/>
  <c r="AB46" i="55"/>
  <c r="X56" i="55"/>
  <c r="AB56" i="55"/>
  <c r="X47" i="55"/>
  <c r="AB47" i="55"/>
  <c r="X57" i="55"/>
  <c r="AB57" i="55"/>
  <c r="X67" i="55"/>
  <c r="AB67" i="55"/>
  <c r="S25" i="55"/>
  <c r="V25" i="55"/>
  <c r="W25" i="55"/>
  <c r="X27" i="55"/>
  <c r="X33" i="55"/>
  <c r="X14" i="55"/>
  <c r="K81" i="61"/>
  <c r="AB76" i="55" l="1"/>
  <c r="X25" i="55"/>
  <c r="Z81" i="61"/>
  <c r="W45" i="61" l="1"/>
  <c r="AB45" i="61" s="1"/>
  <c r="AC45" i="61" s="1"/>
  <c r="W46" i="61"/>
  <c r="AB46" i="61" s="1"/>
  <c r="AC46" i="61" s="1"/>
  <c r="W47" i="61"/>
  <c r="AB47" i="61" s="1"/>
  <c r="AC47" i="61" s="1"/>
  <c r="W48" i="61"/>
  <c r="AB48" i="61" s="1"/>
  <c r="AC48" i="61" s="1"/>
  <c r="W49" i="61"/>
  <c r="AB49" i="61" s="1"/>
  <c r="AC49" i="61" s="1"/>
  <c r="W50" i="61"/>
  <c r="AB50" i="61" s="1"/>
  <c r="AC50" i="61" s="1"/>
  <c r="W51" i="61"/>
  <c r="AB51" i="61" s="1"/>
  <c r="AC51" i="61" s="1"/>
  <c r="W52" i="61"/>
  <c r="AB52" i="61" s="1"/>
  <c r="AC52" i="61" s="1"/>
  <c r="W53" i="61"/>
  <c r="AB53" i="61" s="1"/>
  <c r="AC53" i="61" s="1"/>
  <c r="W54" i="61"/>
  <c r="AB54" i="61" s="1"/>
  <c r="AC54" i="61" s="1"/>
  <c r="W55" i="61"/>
  <c r="AB55" i="61" s="1"/>
  <c r="AC55" i="61" s="1"/>
  <c r="W56" i="61"/>
  <c r="AB56" i="61" s="1"/>
  <c r="AC56" i="61" s="1"/>
  <c r="W57" i="61"/>
  <c r="AB57" i="61" s="1"/>
  <c r="AC57" i="61" s="1"/>
  <c r="W58" i="61"/>
  <c r="AB58" i="61" s="1"/>
  <c r="AC58" i="61" s="1"/>
  <c r="W59" i="61"/>
  <c r="AB59" i="61" s="1"/>
  <c r="AC59" i="61" s="1"/>
  <c r="W60" i="61"/>
  <c r="AB60" i="61" s="1"/>
  <c r="AC60" i="61" s="1"/>
  <c r="W61" i="61"/>
  <c r="AB61" i="61" s="1"/>
  <c r="AC61" i="61" s="1"/>
  <c r="W62" i="61"/>
  <c r="AB62" i="61" s="1"/>
  <c r="AC62" i="61" s="1"/>
  <c r="W63" i="61"/>
  <c r="AB63" i="61" s="1"/>
  <c r="AC63" i="61" s="1"/>
  <c r="W64" i="61"/>
  <c r="AB64" i="61" s="1"/>
  <c r="AC64" i="61" s="1"/>
  <c r="W65" i="61"/>
  <c r="AB65" i="61" s="1"/>
  <c r="AC65" i="61" s="1"/>
  <c r="W66" i="61"/>
  <c r="AB66" i="61" s="1"/>
  <c r="AC66" i="61" s="1"/>
  <c r="W67" i="61"/>
  <c r="AB67" i="61" s="1"/>
  <c r="AC67" i="61" s="1"/>
  <c r="W68" i="61"/>
  <c r="AB68" i="61" s="1"/>
  <c r="AC68" i="61" s="1"/>
  <c r="W69" i="61"/>
  <c r="AB69" i="61" s="1"/>
  <c r="AC69" i="61" s="1"/>
  <c r="W70" i="61"/>
  <c r="AB70" i="61" s="1"/>
  <c r="AC70" i="61" s="1"/>
  <c r="W71" i="61"/>
  <c r="AB71" i="61" s="1"/>
  <c r="AC71" i="61" s="1"/>
  <c r="W72" i="61"/>
  <c r="AB72" i="61" s="1"/>
  <c r="AC72" i="61" s="1"/>
  <c r="W73" i="61"/>
  <c r="AB73" i="61" s="1"/>
  <c r="AC73" i="61" s="1"/>
  <c r="W74" i="61"/>
  <c r="AB74" i="61" s="1"/>
  <c r="AC74" i="61" s="1"/>
  <c r="W75" i="61"/>
  <c r="AB75" i="61" s="1"/>
  <c r="AC75" i="61" s="1"/>
  <c r="W44" i="61"/>
  <c r="AB44" i="61" s="1"/>
  <c r="W40" i="61"/>
  <c r="X40" i="61" s="1"/>
  <c r="W39" i="61"/>
  <c r="X39" i="61" s="1"/>
  <c r="W38" i="61"/>
  <c r="X38" i="61" s="1"/>
  <c r="W37" i="61"/>
  <c r="X37" i="61" s="1"/>
  <c r="W36" i="61"/>
  <c r="X36" i="61" s="1"/>
  <c r="W35" i="61"/>
  <c r="X35" i="61" s="1"/>
  <c r="X34" i="61"/>
  <c r="X33" i="61"/>
  <c r="W15" i="61"/>
  <c r="AB15" i="61" s="1"/>
  <c r="AC15" i="61" s="1"/>
  <c r="W16" i="61"/>
  <c r="AB16" i="61" s="1"/>
  <c r="AC16" i="61" s="1"/>
  <c r="W17" i="61"/>
  <c r="AB17" i="61" s="1"/>
  <c r="AC17" i="61" s="1"/>
  <c r="W18" i="61"/>
  <c r="AB18" i="61" s="1"/>
  <c r="AC18" i="61" s="1"/>
  <c r="W20" i="61"/>
  <c r="AB20" i="61" s="1"/>
  <c r="AC20" i="61" s="1"/>
  <c r="AB21" i="61"/>
  <c r="AC21" i="61" s="1"/>
  <c r="W22" i="61"/>
  <c r="AB22" i="61" s="1"/>
  <c r="AC22" i="61" s="1"/>
  <c r="W23" i="61"/>
  <c r="AB23" i="61" s="1"/>
  <c r="AC23" i="61" s="1"/>
  <c r="W24" i="61"/>
  <c r="AB24" i="61" s="1"/>
  <c r="AC24" i="61" s="1"/>
  <c r="P81" i="61"/>
  <c r="G76" i="61"/>
  <c r="F79" i="61"/>
  <c r="F81" i="61" s="1"/>
  <c r="B76" i="61"/>
  <c r="AC44" i="61" l="1"/>
  <c r="AB76" i="61"/>
  <c r="AC76" i="61" s="1"/>
  <c r="X58" i="61"/>
  <c r="AB37" i="61"/>
  <c r="AC37" i="61" s="1"/>
  <c r="AB35" i="61"/>
  <c r="AC35" i="61" s="1"/>
  <c r="AB38" i="61"/>
  <c r="AC38" i="61" s="1"/>
  <c r="AB39" i="61"/>
  <c r="AC39" i="61" s="1"/>
  <c r="AB34" i="61"/>
  <c r="AC34" i="61" s="1"/>
  <c r="AB36" i="61"/>
  <c r="AC36" i="61" s="1"/>
  <c r="AB40" i="61"/>
  <c r="AC40" i="61" s="1"/>
  <c r="AA76" i="45"/>
  <c r="W46" i="45"/>
  <c r="X46" i="45" s="1"/>
  <c r="Y46" i="45" s="1"/>
  <c r="W47" i="45"/>
  <c r="X47" i="45" s="1"/>
  <c r="Y47" i="45" s="1"/>
  <c r="W48" i="45"/>
  <c r="X48" i="45" s="1"/>
  <c r="Y48" i="45" s="1"/>
  <c r="W49" i="45"/>
  <c r="X49" i="45" s="1"/>
  <c r="Y49" i="45" s="1"/>
  <c r="W50" i="45"/>
  <c r="X50" i="45" s="1"/>
  <c r="Y50" i="45" s="1"/>
  <c r="W51" i="45"/>
  <c r="W52" i="45"/>
  <c r="X52" i="45" s="1"/>
  <c r="Y52" i="45" s="1"/>
  <c r="W53" i="45"/>
  <c r="X53" i="45" s="1"/>
  <c r="Y53" i="45" s="1"/>
  <c r="W54" i="45"/>
  <c r="W55" i="45"/>
  <c r="X55" i="45" s="1"/>
  <c r="Y55" i="45" s="1"/>
  <c r="W56" i="45"/>
  <c r="X56" i="45" s="1"/>
  <c r="Y56" i="45" s="1"/>
  <c r="W57" i="45"/>
  <c r="X57" i="45" s="1"/>
  <c r="Y57" i="45" s="1"/>
  <c r="W58" i="45"/>
  <c r="X58" i="45" s="1"/>
  <c r="Y58" i="45" s="1"/>
  <c r="W59" i="45"/>
  <c r="X59" i="45" s="1"/>
  <c r="Y59" i="45" s="1"/>
  <c r="W60" i="45"/>
  <c r="X60" i="45" s="1"/>
  <c r="Y60" i="45" s="1"/>
  <c r="W61" i="45"/>
  <c r="X61" i="45" s="1"/>
  <c r="Y61" i="45" s="1"/>
  <c r="W62" i="45"/>
  <c r="X62" i="45" s="1"/>
  <c r="Y62" i="45" s="1"/>
  <c r="W63" i="45"/>
  <c r="X63" i="45" s="1"/>
  <c r="Y63" i="45" s="1"/>
  <c r="W64" i="45"/>
  <c r="X64" i="45" s="1"/>
  <c r="Y64" i="45" s="1"/>
  <c r="W65" i="45"/>
  <c r="X65" i="45" s="1"/>
  <c r="Y65" i="45" s="1"/>
  <c r="W67" i="45"/>
  <c r="X67" i="45" s="1"/>
  <c r="Y67" i="45" s="1"/>
  <c r="W68" i="45"/>
  <c r="X68" i="45" s="1"/>
  <c r="Y68" i="45" s="1"/>
  <c r="W69" i="45"/>
  <c r="X69" i="45" s="1"/>
  <c r="Y69" i="45" s="1"/>
  <c r="W70" i="45"/>
  <c r="X70" i="45" s="1"/>
  <c r="Y70" i="45" s="1"/>
  <c r="W71" i="45"/>
  <c r="X71" i="45" s="1"/>
  <c r="Y71" i="45" s="1"/>
  <c r="W72" i="45"/>
  <c r="X72" i="45" s="1"/>
  <c r="Y72" i="45" s="1"/>
  <c r="W73" i="45"/>
  <c r="X73" i="45" s="1"/>
  <c r="Y73" i="45" s="1"/>
  <c r="W74" i="45"/>
  <c r="X74" i="45" s="1"/>
  <c r="Y74" i="45" s="1"/>
  <c r="W75" i="45"/>
  <c r="X75" i="45" s="1"/>
  <c r="Y75" i="45" s="1"/>
  <c r="W45" i="45"/>
  <c r="X45" i="45" s="1"/>
  <c r="Y45" i="45" s="1"/>
  <c r="W44" i="45"/>
  <c r="X44" i="45" s="1"/>
  <c r="V34" i="45"/>
  <c r="W34" i="45"/>
  <c r="X34" i="45" s="1"/>
  <c r="W35" i="45"/>
  <c r="V36" i="45"/>
  <c r="W36" i="45"/>
  <c r="V37" i="45"/>
  <c r="W37" i="45"/>
  <c r="V38" i="45"/>
  <c r="W38" i="45"/>
  <c r="X38" i="45" s="1"/>
  <c r="V39" i="45"/>
  <c r="W39" i="45"/>
  <c r="V40" i="45"/>
  <c r="W40" i="45"/>
  <c r="V33" i="45"/>
  <c r="W14" i="45"/>
  <c r="AB14" i="45" s="1"/>
  <c r="AC14" i="45" s="1"/>
  <c r="V15" i="45"/>
  <c r="V16" i="45"/>
  <c r="W16" i="45"/>
  <c r="AB16" i="45" s="1"/>
  <c r="V17" i="45"/>
  <c r="W17" i="45"/>
  <c r="AB17" i="45" s="1"/>
  <c r="V18" i="45"/>
  <c r="V20" i="45"/>
  <c r="V21" i="45"/>
  <c r="W21" i="45"/>
  <c r="AB21" i="45" s="1"/>
  <c r="V22" i="45"/>
  <c r="W22" i="45"/>
  <c r="AB22" i="45" s="1"/>
  <c r="V23" i="45"/>
  <c r="W23" i="45"/>
  <c r="W24" i="45"/>
  <c r="AB24" i="45" s="1"/>
  <c r="G76" i="45"/>
  <c r="H76" i="45"/>
  <c r="T54" i="45"/>
  <c r="S16" i="45"/>
  <c r="S17" i="45"/>
  <c r="S20" i="45"/>
  <c r="S21" i="45"/>
  <c r="S22" i="45"/>
  <c r="S23" i="45"/>
  <c r="S24" i="45"/>
  <c r="X23" i="45" l="1"/>
  <c r="AB23" i="45"/>
  <c r="X51" i="45"/>
  <c r="Y51" i="45" s="1"/>
  <c r="AB51" i="45"/>
  <c r="AC51" i="45" s="1"/>
  <c r="Y44" i="45"/>
  <c r="AB54" i="45"/>
  <c r="AC54" i="45" s="1"/>
  <c r="X54" i="45"/>
  <c r="Y54" i="45" s="1"/>
  <c r="X39" i="45"/>
  <c r="X35" i="45"/>
  <c r="X18" i="45"/>
  <c r="X22" i="45"/>
  <c r="X17" i="45"/>
  <c r="X37" i="45"/>
  <c r="X40" i="45"/>
  <c r="X36" i="45"/>
  <c r="W41" i="45"/>
  <c r="V41" i="45"/>
  <c r="X33" i="45"/>
  <c r="X21" i="45"/>
  <c r="X16" i="45"/>
  <c r="X15" i="45"/>
  <c r="X20" i="45"/>
  <c r="X24" i="45"/>
  <c r="X14" i="45"/>
  <c r="B70" i="44"/>
  <c r="X25" i="45" l="1"/>
  <c r="X76" i="45"/>
  <c r="AB25" i="45"/>
  <c r="X45" i="61" l="1"/>
  <c r="V46" i="61"/>
  <c r="X46" i="61" s="1"/>
  <c r="V47" i="61"/>
  <c r="X47" i="61" s="1"/>
  <c r="V48" i="61"/>
  <c r="X48" i="61" s="1"/>
  <c r="X49" i="61"/>
  <c r="V50" i="61"/>
  <c r="X50" i="61" s="1"/>
  <c r="V51" i="61"/>
  <c r="X51" i="61" s="1"/>
  <c r="V52" i="61"/>
  <c r="X52" i="61" s="1"/>
  <c r="V53" i="61"/>
  <c r="X53" i="61" s="1"/>
  <c r="V54" i="61"/>
  <c r="X54" i="61" s="1"/>
  <c r="V55" i="61"/>
  <c r="X55" i="61" s="1"/>
  <c r="V56" i="61"/>
  <c r="X56" i="61" s="1"/>
  <c r="V57" i="61"/>
  <c r="X57" i="61" s="1"/>
  <c r="X59" i="61"/>
  <c r="X60" i="61"/>
  <c r="X61" i="61"/>
  <c r="X62" i="61"/>
  <c r="X63" i="61"/>
  <c r="X64" i="61"/>
  <c r="X65" i="61"/>
  <c r="X66" i="61"/>
  <c r="X67" i="61"/>
  <c r="X68" i="61"/>
  <c r="X69" i="61"/>
  <c r="X70" i="61"/>
  <c r="X71" i="61"/>
  <c r="X72" i="61"/>
  <c r="X73" i="61"/>
  <c r="X74" i="61"/>
  <c r="X75" i="61"/>
  <c r="X44" i="61"/>
  <c r="H25" i="45" l="1"/>
  <c r="AB14" i="61"/>
  <c r="V15" i="61"/>
  <c r="V16" i="61"/>
  <c r="V17" i="61"/>
  <c r="V18" i="61"/>
  <c r="V20" i="61"/>
  <c r="V22" i="61"/>
  <c r="V23" i="61"/>
  <c r="V24" i="61"/>
  <c r="T34" i="52" l="1"/>
  <c r="T35" i="52"/>
  <c r="T36" i="52"/>
  <c r="T37" i="52"/>
  <c r="T38" i="52"/>
  <c r="X54" i="52"/>
  <c r="E34" i="52"/>
  <c r="E36" i="52"/>
  <c r="E37" i="52"/>
  <c r="E39" i="52"/>
  <c r="AB54" i="52" l="1"/>
  <c r="AC54" i="52" s="1"/>
  <c r="V76" i="61"/>
  <c r="W76" i="61"/>
  <c r="O60" i="61"/>
  <c r="O58" i="61"/>
  <c r="O52" i="61"/>
  <c r="O53" i="61"/>
  <c r="O55" i="61"/>
  <c r="O56" i="61"/>
  <c r="O57" i="61"/>
  <c r="O59" i="61"/>
  <c r="O61" i="61"/>
  <c r="O62" i="61"/>
  <c r="O63" i="61"/>
  <c r="O64" i="61"/>
  <c r="O65" i="61"/>
  <c r="O66" i="61"/>
  <c r="O67" i="61"/>
  <c r="O68" i="61"/>
  <c r="O69" i="61"/>
  <c r="O70" i="61"/>
  <c r="O71" i="61"/>
  <c r="O72" i="61"/>
  <c r="O74" i="61"/>
  <c r="O75" i="61"/>
  <c r="M76" i="61"/>
  <c r="N80" i="61"/>
  <c r="N82" i="61"/>
  <c r="O82" i="61"/>
  <c r="T33" i="61"/>
  <c r="T34" i="61"/>
  <c r="X18" i="61"/>
  <c r="Y18" i="61" s="1"/>
  <c r="X21" i="61"/>
  <c r="Y21" i="61" s="1"/>
  <c r="X24" i="61"/>
  <c r="Y24" i="61" s="1"/>
  <c r="X22" i="61"/>
  <c r="Y22" i="61" s="1"/>
  <c r="X20" i="61"/>
  <c r="Y20" i="61" s="1"/>
  <c r="X16" i="61"/>
  <c r="Y16" i="61" s="1"/>
  <c r="X14" i="61"/>
  <c r="Y14" i="61" s="1"/>
  <c r="S15" i="61"/>
  <c r="S16" i="61"/>
  <c r="S17" i="61"/>
  <c r="S20" i="61"/>
  <c r="S21" i="61"/>
  <c r="S22" i="61"/>
  <c r="S23" i="61"/>
  <c r="S24" i="61"/>
  <c r="S14" i="61"/>
  <c r="N14" i="61"/>
  <c r="E22" i="61"/>
  <c r="D56" i="40"/>
  <c r="B56" i="40" s="1"/>
  <c r="S25" i="61" l="1"/>
  <c r="X76" i="61"/>
  <c r="N76" i="61"/>
  <c r="X23" i="61"/>
  <c r="Y23" i="61" s="1"/>
  <c r="X15" i="61"/>
  <c r="Y15" i="61" s="1"/>
  <c r="X17" i="61"/>
  <c r="Y17" i="61" s="1"/>
  <c r="C70" i="57" l="1"/>
  <c r="E70" i="57"/>
  <c r="F70" i="57"/>
  <c r="C63" i="49"/>
  <c r="E63" i="49"/>
  <c r="F63" i="49"/>
  <c r="B63" i="57"/>
  <c r="F57" i="49"/>
  <c r="C57" i="49"/>
  <c r="E57" i="49"/>
  <c r="B57" i="49"/>
  <c r="B72" i="49" s="1"/>
  <c r="B57" i="57"/>
  <c r="C57" i="57"/>
  <c r="D57" i="57"/>
  <c r="E57" i="57"/>
  <c r="F57" i="57"/>
  <c r="D39" i="49"/>
  <c r="E39" i="49"/>
  <c r="B39" i="57"/>
  <c r="D30" i="49"/>
  <c r="E30" i="49"/>
  <c r="C30" i="57"/>
  <c r="D30" i="57"/>
  <c r="E30" i="57"/>
  <c r="F30" i="57"/>
  <c r="B30" i="57"/>
  <c r="D20" i="57"/>
  <c r="E20" i="57"/>
  <c r="F20" i="57"/>
  <c r="I17" i="27" s="1"/>
  <c r="C39" i="57"/>
  <c r="B39" i="60"/>
  <c r="B30" i="60"/>
  <c r="C30" i="60"/>
  <c r="D30" i="60"/>
  <c r="E30" i="60"/>
  <c r="F30" i="60"/>
  <c r="B63" i="60"/>
  <c r="B57" i="60"/>
  <c r="C39" i="60"/>
  <c r="E72" i="49" l="1"/>
  <c r="D43" i="49"/>
  <c r="E43" i="49"/>
  <c r="C72" i="49"/>
  <c r="F72" i="49"/>
  <c r="F43" i="49"/>
  <c r="C43" i="49"/>
  <c r="C43" i="57"/>
  <c r="B43" i="57"/>
  <c r="AC27" i="67" l="1"/>
  <c r="F63" i="69" l="1"/>
  <c r="F57" i="69"/>
  <c r="F30" i="69"/>
  <c r="M17" i="27" s="1"/>
  <c r="F63" i="57"/>
  <c r="I13" i="27" s="1"/>
  <c r="F39" i="57"/>
  <c r="F72" i="57" l="1"/>
  <c r="F43" i="57"/>
  <c r="C70" i="56" l="1"/>
  <c r="D70" i="56"/>
  <c r="E70" i="56"/>
  <c r="F70" i="56"/>
  <c r="B70" i="56"/>
  <c r="C63" i="56"/>
  <c r="D63" i="56"/>
  <c r="E63" i="56"/>
  <c r="F63" i="56"/>
  <c r="B63" i="56"/>
  <c r="C57" i="56"/>
  <c r="D57" i="56"/>
  <c r="E57" i="56"/>
  <c r="F57" i="56"/>
  <c r="E13" i="27" s="1"/>
  <c r="B57" i="56"/>
  <c r="C39" i="56"/>
  <c r="D39" i="56"/>
  <c r="E39" i="56"/>
  <c r="F39" i="56"/>
  <c r="B39" i="56"/>
  <c r="C30" i="56"/>
  <c r="D30" i="56"/>
  <c r="E30" i="56"/>
  <c r="F30" i="56"/>
  <c r="B30" i="56"/>
  <c r="C20" i="56"/>
  <c r="D20" i="56"/>
  <c r="E20" i="56"/>
  <c r="F20" i="56"/>
  <c r="B20" i="56"/>
  <c r="E25" i="27" l="1"/>
  <c r="E17" i="27"/>
  <c r="B72" i="56"/>
  <c r="D72" i="56"/>
  <c r="E72" i="56"/>
  <c r="C72" i="56"/>
  <c r="F72" i="56"/>
  <c r="B43" i="56"/>
  <c r="E43" i="56"/>
  <c r="C43" i="56"/>
  <c r="F43" i="56"/>
  <c r="E14" i="27" s="1"/>
  <c r="D43" i="56"/>
  <c r="R76" i="55" l="1"/>
  <c r="Q76" i="55"/>
  <c r="X35" i="65" l="1"/>
  <c r="X36" i="65"/>
  <c r="X38" i="65"/>
  <c r="X39" i="65"/>
  <c r="X40" i="65"/>
  <c r="Q41" i="65"/>
  <c r="W82" i="65"/>
  <c r="V82" i="65"/>
  <c r="AA82" i="65" s="1"/>
  <c r="S82" i="65"/>
  <c r="T82" i="65" s="1"/>
  <c r="N82" i="65"/>
  <c r="O82" i="65" s="1"/>
  <c r="I82" i="65"/>
  <c r="J82" i="65" s="1"/>
  <c r="D82" i="65"/>
  <c r="E82" i="65" s="1"/>
  <c r="AC81" i="65"/>
  <c r="Y81" i="65"/>
  <c r="T81" i="65"/>
  <c r="O81" i="65"/>
  <c r="J81" i="65"/>
  <c r="E81" i="65"/>
  <c r="S80" i="65"/>
  <c r="N80" i="65"/>
  <c r="I80" i="65"/>
  <c r="D80" i="65"/>
  <c r="Z79" i="65"/>
  <c r="Z81" i="65" s="1"/>
  <c r="U79" i="65"/>
  <c r="U81" i="65" s="1"/>
  <c r="P79" i="65"/>
  <c r="P81" i="65" s="1"/>
  <c r="K79" i="65"/>
  <c r="K81" i="65" s="1"/>
  <c r="F79" i="65"/>
  <c r="F81" i="65" s="1"/>
  <c r="Q76" i="65"/>
  <c r="M76" i="65"/>
  <c r="L76" i="65"/>
  <c r="H76" i="65"/>
  <c r="G76" i="65"/>
  <c r="C76" i="65"/>
  <c r="B76" i="65"/>
  <c r="O64" i="65"/>
  <c r="O53" i="65"/>
  <c r="E45" i="65"/>
  <c r="E70" i="65"/>
  <c r="D14" i="65"/>
  <c r="E14" i="65" s="1"/>
  <c r="I14" i="65"/>
  <c r="N14" i="65"/>
  <c r="S14" i="65"/>
  <c r="S25" i="65" s="1"/>
  <c r="D15" i="65"/>
  <c r="I15" i="65"/>
  <c r="J15" i="65" s="1"/>
  <c r="N15" i="65"/>
  <c r="D16" i="65"/>
  <c r="E16" i="65" s="1"/>
  <c r="I16" i="65"/>
  <c r="J16" i="65" s="1"/>
  <c r="N16" i="65"/>
  <c r="O16" i="65" s="1"/>
  <c r="T16" i="65"/>
  <c r="D17" i="65"/>
  <c r="E17" i="65" s="1"/>
  <c r="I17" i="65"/>
  <c r="J17" i="65" s="1"/>
  <c r="N17" i="65"/>
  <c r="E18" i="65"/>
  <c r="I18" i="65"/>
  <c r="J18" i="65" s="1"/>
  <c r="N18" i="65"/>
  <c r="O18" i="65" s="1"/>
  <c r="T18" i="65"/>
  <c r="D19" i="65"/>
  <c r="E19" i="65" s="1"/>
  <c r="I19" i="65"/>
  <c r="J19" i="65" s="1"/>
  <c r="N19" i="65"/>
  <c r="O19" i="65" s="1"/>
  <c r="T19" i="65"/>
  <c r="D20" i="65"/>
  <c r="E20" i="65" s="1"/>
  <c r="I20" i="65"/>
  <c r="J20" i="65" s="1"/>
  <c r="N20" i="65"/>
  <c r="O20" i="65" s="1"/>
  <c r="T20" i="65"/>
  <c r="D21" i="65"/>
  <c r="E21" i="65" s="1"/>
  <c r="I21" i="65"/>
  <c r="J21" i="65" s="1"/>
  <c r="N21" i="65"/>
  <c r="O21" i="65" s="1"/>
  <c r="T21" i="65"/>
  <c r="D22" i="65"/>
  <c r="I22" i="65"/>
  <c r="J22" i="65" s="1"/>
  <c r="N22" i="65"/>
  <c r="O22" i="65" s="1"/>
  <c r="D24" i="65"/>
  <c r="E24" i="65" s="1"/>
  <c r="I24" i="65"/>
  <c r="J24" i="65" s="1"/>
  <c r="N24" i="65"/>
  <c r="O24" i="65" s="1"/>
  <c r="D27" i="65"/>
  <c r="E26" i="65" s="1"/>
  <c r="I27" i="65"/>
  <c r="J26" i="65" s="1"/>
  <c r="O26" i="65"/>
  <c r="S27" i="65"/>
  <c r="T26" i="65" s="1"/>
  <c r="V27" i="65"/>
  <c r="V29" i="65" s="1"/>
  <c r="W27" i="65"/>
  <c r="E33" i="65"/>
  <c r="J33" i="65"/>
  <c r="O33" i="65"/>
  <c r="T33" i="65"/>
  <c r="J34" i="65"/>
  <c r="T34" i="65"/>
  <c r="E35" i="65"/>
  <c r="J35" i="65"/>
  <c r="O35" i="65"/>
  <c r="E36" i="65"/>
  <c r="J36" i="65"/>
  <c r="O36" i="65"/>
  <c r="T36" i="65"/>
  <c r="E37" i="65"/>
  <c r="J37" i="65"/>
  <c r="O37" i="65"/>
  <c r="T37" i="65"/>
  <c r="E38" i="65"/>
  <c r="J38" i="65"/>
  <c r="O38" i="65"/>
  <c r="E39" i="65"/>
  <c r="J39" i="65"/>
  <c r="O39" i="65"/>
  <c r="T39" i="65"/>
  <c r="E40" i="65"/>
  <c r="J40" i="65"/>
  <c r="O40" i="65"/>
  <c r="B41" i="65"/>
  <c r="C41" i="65"/>
  <c r="G41" i="65"/>
  <c r="H41" i="65"/>
  <c r="L41" i="65"/>
  <c r="M41" i="65"/>
  <c r="R41" i="65"/>
  <c r="AA41" i="65"/>
  <c r="J45" i="65"/>
  <c r="O45" i="65"/>
  <c r="T45" i="65"/>
  <c r="E46" i="65"/>
  <c r="J46" i="65"/>
  <c r="O46" i="65"/>
  <c r="T46" i="65"/>
  <c r="E47" i="65"/>
  <c r="J47" i="65"/>
  <c r="O47" i="65"/>
  <c r="T47" i="65"/>
  <c r="E48" i="65"/>
  <c r="J48" i="65"/>
  <c r="O48" i="65"/>
  <c r="T48" i="65"/>
  <c r="E49" i="65"/>
  <c r="J49" i="65"/>
  <c r="O49" i="65"/>
  <c r="T49" i="65"/>
  <c r="E50" i="65"/>
  <c r="J50" i="65"/>
  <c r="O50" i="65"/>
  <c r="T50" i="65"/>
  <c r="E51" i="65"/>
  <c r="E52" i="65"/>
  <c r="J52" i="65"/>
  <c r="O52" i="65"/>
  <c r="E53" i="65"/>
  <c r="E54" i="65"/>
  <c r="E55" i="65"/>
  <c r="J55" i="65"/>
  <c r="O55" i="65"/>
  <c r="T55" i="65"/>
  <c r="E56" i="65"/>
  <c r="O56" i="65"/>
  <c r="T56" i="65"/>
  <c r="E57" i="65"/>
  <c r="J57" i="65"/>
  <c r="O57" i="65"/>
  <c r="T57" i="65"/>
  <c r="E58" i="65"/>
  <c r="J58" i="65"/>
  <c r="O58" i="65"/>
  <c r="T58" i="65"/>
  <c r="E59" i="65"/>
  <c r="J59" i="65"/>
  <c r="O59" i="65"/>
  <c r="T59" i="65"/>
  <c r="E60" i="65"/>
  <c r="J60" i="65"/>
  <c r="O60" i="65"/>
  <c r="T60" i="65"/>
  <c r="E61" i="65"/>
  <c r="J61" i="65"/>
  <c r="O61" i="65"/>
  <c r="T61" i="65"/>
  <c r="E62" i="65"/>
  <c r="J62" i="65"/>
  <c r="O62" i="65"/>
  <c r="T62" i="65"/>
  <c r="E63" i="65"/>
  <c r="J63" i="65"/>
  <c r="O63" i="65"/>
  <c r="T63" i="65"/>
  <c r="E64" i="65"/>
  <c r="T64" i="65"/>
  <c r="E65" i="65"/>
  <c r="J65" i="65"/>
  <c r="O65" i="65"/>
  <c r="T65" i="65"/>
  <c r="E66" i="65"/>
  <c r="J66" i="65"/>
  <c r="O66" i="65"/>
  <c r="T66" i="65"/>
  <c r="E67" i="65"/>
  <c r="J67" i="65"/>
  <c r="O67" i="65"/>
  <c r="T67" i="65"/>
  <c r="E68" i="65"/>
  <c r="O68" i="65"/>
  <c r="T68" i="65"/>
  <c r="E69" i="65"/>
  <c r="J69" i="65"/>
  <c r="O69" i="65"/>
  <c r="T69" i="65"/>
  <c r="O70" i="65"/>
  <c r="T70" i="65"/>
  <c r="E71" i="65"/>
  <c r="J71" i="65"/>
  <c r="O71" i="65"/>
  <c r="T71" i="65"/>
  <c r="E72" i="65"/>
  <c r="J72" i="65"/>
  <c r="O72" i="65"/>
  <c r="T72" i="65"/>
  <c r="E73" i="65"/>
  <c r="E74" i="65"/>
  <c r="J74" i="65"/>
  <c r="O74" i="65"/>
  <c r="T74" i="65"/>
  <c r="E75" i="65"/>
  <c r="J75" i="65"/>
  <c r="O75" i="65"/>
  <c r="T75" i="65"/>
  <c r="W29" i="65" l="1"/>
  <c r="AB27" i="65"/>
  <c r="T25" i="65"/>
  <c r="S29" i="65"/>
  <c r="H78" i="65"/>
  <c r="X33" i="65"/>
  <c r="Y33" i="65" s="1"/>
  <c r="N25" i="65"/>
  <c r="N29" i="65" s="1"/>
  <c r="T14" i="65"/>
  <c r="O14" i="65"/>
  <c r="J14" i="65"/>
  <c r="I25" i="65"/>
  <c r="I29" i="65" s="1"/>
  <c r="E22" i="65"/>
  <c r="D25" i="65"/>
  <c r="T15" i="65"/>
  <c r="O15" i="65"/>
  <c r="E15" i="65"/>
  <c r="AB82" i="65"/>
  <c r="AC82" i="65" s="1"/>
  <c r="X34" i="65"/>
  <c r="Y34" i="65" s="1"/>
  <c r="X37" i="65"/>
  <c r="Y37" i="65" s="1"/>
  <c r="C78" i="65"/>
  <c r="X27" i="65"/>
  <c r="R78" i="65"/>
  <c r="AA78" i="65"/>
  <c r="M78" i="65"/>
  <c r="Q78" i="65"/>
  <c r="Q79" i="65" s="1"/>
  <c r="Y36" i="65"/>
  <c r="L78" i="65"/>
  <c r="I41" i="65"/>
  <c r="J41" i="65" s="1"/>
  <c r="G78" i="65"/>
  <c r="Y39" i="65"/>
  <c r="W41" i="65"/>
  <c r="B78" i="65"/>
  <c r="B79" i="65" s="1"/>
  <c r="X82" i="65"/>
  <c r="Y82" i="65" s="1"/>
  <c r="Y50" i="65"/>
  <c r="Y46" i="65"/>
  <c r="Y55" i="65"/>
  <c r="Y48" i="65"/>
  <c r="Y49" i="65"/>
  <c r="Y47" i="65"/>
  <c r="Y45" i="65"/>
  <c r="Y72" i="65"/>
  <c r="Y71" i="65"/>
  <c r="J70" i="65"/>
  <c r="Y70" i="65"/>
  <c r="Y67" i="65"/>
  <c r="Y66" i="65"/>
  <c r="Y65" i="65"/>
  <c r="J64" i="65"/>
  <c r="Y64" i="65"/>
  <c r="N76" i="65"/>
  <c r="O76" i="65" s="1"/>
  <c r="D76" i="65"/>
  <c r="E76" i="65" s="1"/>
  <c r="Y40" i="65"/>
  <c r="O34" i="65"/>
  <c r="N41" i="65"/>
  <c r="E34" i="65"/>
  <c r="D41" i="65"/>
  <c r="T22" i="65"/>
  <c r="Y16" i="65"/>
  <c r="Y75" i="65"/>
  <c r="Y74" i="65"/>
  <c r="J73" i="65"/>
  <c r="Y73" i="65"/>
  <c r="Y69" i="65"/>
  <c r="J68" i="65"/>
  <c r="Y68" i="65"/>
  <c r="Y63" i="65"/>
  <c r="Y62" i="65"/>
  <c r="Y61" i="65"/>
  <c r="Y60" i="65"/>
  <c r="Y59" i="65"/>
  <c r="Y58" i="65"/>
  <c r="Y57" i="65"/>
  <c r="J56" i="65"/>
  <c r="Y56" i="65"/>
  <c r="J53" i="65"/>
  <c r="T44" i="65"/>
  <c r="J44" i="65"/>
  <c r="O17" i="65"/>
  <c r="T38" i="65"/>
  <c r="Y38" i="65"/>
  <c r="T24" i="65"/>
  <c r="Y24" i="65"/>
  <c r="Y21" i="65"/>
  <c r="Y20" i="65"/>
  <c r="Y19" i="65"/>
  <c r="Y18" i="65"/>
  <c r="Y17" i="65"/>
  <c r="AB29" i="65" l="1"/>
  <c r="AC29" i="65" s="1"/>
  <c r="AC27" i="65"/>
  <c r="AA79" i="65"/>
  <c r="AA81" i="65" s="1"/>
  <c r="AA83" i="65" s="1"/>
  <c r="R79" i="65"/>
  <c r="R81" i="65" s="1"/>
  <c r="R83" i="65" s="1"/>
  <c r="M79" i="65"/>
  <c r="L79" i="65"/>
  <c r="H79" i="65"/>
  <c r="G79" i="65"/>
  <c r="G81" i="65" s="1"/>
  <c r="G83" i="65" s="1"/>
  <c r="C79" i="65"/>
  <c r="C81" i="65" s="1"/>
  <c r="C83" i="65" s="1"/>
  <c r="E25" i="65"/>
  <c r="D29" i="65"/>
  <c r="O25" i="65"/>
  <c r="B81" i="65"/>
  <c r="B83" i="65" s="1"/>
  <c r="J29" i="65"/>
  <c r="J25" i="65"/>
  <c r="E29" i="65"/>
  <c r="O29" i="65"/>
  <c r="Y22" i="65"/>
  <c r="X25" i="65"/>
  <c r="X29" i="65" s="1"/>
  <c r="Y15" i="65"/>
  <c r="AB76" i="65"/>
  <c r="AC76" i="65" s="1"/>
  <c r="D78" i="65"/>
  <c r="S76" i="65"/>
  <c r="T76" i="65" s="1"/>
  <c r="N78" i="65"/>
  <c r="W78" i="65"/>
  <c r="I76" i="65"/>
  <c r="J76" i="65" s="1"/>
  <c r="Y44" i="65"/>
  <c r="X76" i="65"/>
  <c r="Y76" i="65" s="1"/>
  <c r="V41" i="65"/>
  <c r="V78" i="65" s="1"/>
  <c r="V79" i="65" s="1"/>
  <c r="Y35" i="65"/>
  <c r="T17" i="65"/>
  <c r="S41" i="65"/>
  <c r="T35" i="65"/>
  <c r="E44" i="65"/>
  <c r="O44" i="65"/>
  <c r="AB41" i="65"/>
  <c r="Y14" i="65"/>
  <c r="E41" i="65"/>
  <c r="O41" i="65"/>
  <c r="M81" i="65" l="1"/>
  <c r="M83" i="65" s="1"/>
  <c r="H81" i="65"/>
  <c r="H83" i="65" s="1"/>
  <c r="I83" i="65" s="1"/>
  <c r="L81" i="65"/>
  <c r="L83" i="65" s="1"/>
  <c r="AB78" i="65"/>
  <c r="AB79" i="65" s="1"/>
  <c r="AB81" i="65" s="1"/>
  <c r="AB83" i="65" s="1"/>
  <c r="AC83" i="65" s="1"/>
  <c r="O78" i="65"/>
  <c r="N79" i="65"/>
  <c r="N81" i="65" s="1"/>
  <c r="W79" i="65"/>
  <c r="D83" i="65"/>
  <c r="E78" i="65"/>
  <c r="D79" i="65"/>
  <c r="D81" i="65" s="1"/>
  <c r="E83" i="65" s="1"/>
  <c r="Y29" i="65"/>
  <c r="Y25" i="65"/>
  <c r="AC25" i="65"/>
  <c r="S78" i="65"/>
  <c r="I78" i="65"/>
  <c r="V81" i="65"/>
  <c r="V83" i="65" s="1"/>
  <c r="X41" i="65"/>
  <c r="X78" i="65" s="1"/>
  <c r="X79" i="65" s="1"/>
  <c r="AC41" i="65"/>
  <c r="T41" i="65"/>
  <c r="N83" i="65" l="1"/>
  <c r="W81" i="65"/>
  <c r="W83" i="65" s="1"/>
  <c r="X83" i="65" s="1"/>
  <c r="K30" i="27"/>
  <c r="K31" i="27"/>
  <c r="O83" i="65"/>
  <c r="S79" i="65"/>
  <c r="S81" i="65" s="1"/>
  <c r="I79" i="65"/>
  <c r="I81" i="65" s="1"/>
  <c r="J83" i="65" s="1"/>
  <c r="T78" i="65"/>
  <c r="AC78" i="65"/>
  <c r="J78" i="65"/>
  <c r="X81" i="65"/>
  <c r="Y83" i="65" s="1"/>
  <c r="Y41" i="65"/>
  <c r="Y78" i="65"/>
  <c r="B20" i="63" l="1"/>
  <c r="C20" i="63"/>
  <c r="D20" i="63"/>
  <c r="E20" i="63"/>
  <c r="F20" i="63"/>
  <c r="B30" i="63"/>
  <c r="C30" i="63"/>
  <c r="D30" i="63"/>
  <c r="E30" i="63"/>
  <c r="F30" i="63"/>
  <c r="B39" i="63"/>
  <c r="C39" i="63"/>
  <c r="D39" i="63"/>
  <c r="E39" i="63"/>
  <c r="F39" i="63"/>
  <c r="B57" i="63"/>
  <c r="C57" i="63"/>
  <c r="D57" i="63"/>
  <c r="E57" i="63"/>
  <c r="F57" i="63"/>
  <c r="B63" i="63"/>
  <c r="C63" i="63"/>
  <c r="D63" i="63"/>
  <c r="E63" i="63"/>
  <c r="F63" i="63"/>
  <c r="B70" i="63"/>
  <c r="C70" i="63"/>
  <c r="D13" i="27" l="1"/>
  <c r="D18" i="27"/>
  <c r="D17" i="27"/>
  <c r="B72" i="63"/>
  <c r="D43" i="63"/>
  <c r="F43" i="63"/>
  <c r="D14" i="27" s="1"/>
  <c r="B43" i="63"/>
  <c r="C72" i="63"/>
  <c r="E43" i="63"/>
  <c r="C43" i="63"/>
  <c r="F70" i="63"/>
  <c r="F72" i="63" s="1"/>
  <c r="E70" i="63"/>
  <c r="E72" i="63" s="1"/>
  <c r="D70" i="63"/>
  <c r="D72" i="63" s="1"/>
  <c r="F70" i="44" l="1"/>
  <c r="E70" i="44"/>
  <c r="D70" i="44"/>
  <c r="C70" i="44"/>
  <c r="F63" i="44"/>
  <c r="E63" i="44"/>
  <c r="D63" i="44"/>
  <c r="C63" i="44"/>
  <c r="B63" i="44"/>
  <c r="F57" i="44"/>
  <c r="C13" i="27" s="1"/>
  <c r="E57" i="44"/>
  <c r="D57" i="44"/>
  <c r="C57" i="44"/>
  <c r="B57" i="44"/>
  <c r="F39" i="44"/>
  <c r="E39" i="44"/>
  <c r="D39" i="44"/>
  <c r="C39" i="44"/>
  <c r="B39" i="44"/>
  <c r="F30" i="44"/>
  <c r="E30" i="44"/>
  <c r="D30" i="44"/>
  <c r="C30" i="44"/>
  <c r="B30" i="44"/>
  <c r="F20" i="44"/>
  <c r="E20" i="44"/>
  <c r="D20" i="44"/>
  <c r="C20" i="44"/>
  <c r="C17" i="27" l="1"/>
  <c r="C21" i="27"/>
  <c r="E72" i="44"/>
  <c r="C72" i="44"/>
  <c r="B72" i="44"/>
  <c r="D72" i="44"/>
  <c r="F72" i="44"/>
  <c r="F43" i="44"/>
  <c r="C14" i="27" s="1"/>
  <c r="D43" i="44"/>
  <c r="B43" i="44"/>
  <c r="E43" i="44"/>
  <c r="C43" i="44"/>
  <c r="N32" i="27"/>
  <c r="M27" i="27"/>
  <c r="M26" i="27"/>
  <c r="M25" i="27"/>
  <c r="L26" i="27"/>
  <c r="K27" i="27"/>
  <c r="J27" i="27"/>
  <c r="J26" i="27"/>
  <c r="J25" i="27"/>
  <c r="I27" i="27"/>
  <c r="I26" i="27"/>
  <c r="I25" i="27"/>
  <c r="H26" i="27"/>
  <c r="G26" i="27"/>
  <c r="F26" i="27"/>
  <c r="E27" i="27"/>
  <c r="E26" i="27"/>
  <c r="C27" i="27"/>
  <c r="C26" i="27"/>
  <c r="D27" i="27"/>
  <c r="D26" i="27"/>
  <c r="D25" i="27"/>
  <c r="C25" i="27"/>
  <c r="M22" i="27"/>
  <c r="M21" i="27"/>
  <c r="K22" i="27"/>
  <c r="J22" i="27"/>
  <c r="J21" i="27"/>
  <c r="I22" i="27"/>
  <c r="I21" i="27"/>
  <c r="E22" i="27"/>
  <c r="E21" i="27"/>
  <c r="D22" i="27"/>
  <c r="D21" i="27"/>
  <c r="C22" i="27"/>
  <c r="M18" i="27"/>
  <c r="K18" i="27"/>
  <c r="J18" i="27"/>
  <c r="I18" i="27"/>
  <c r="E18" i="27"/>
  <c r="C28" i="27" l="1"/>
  <c r="E19" i="27"/>
  <c r="I28" i="27"/>
  <c r="I19" i="27"/>
  <c r="D19" i="27"/>
  <c r="E28" i="27"/>
  <c r="J19" i="27"/>
  <c r="J28" i="27"/>
  <c r="D28" i="27"/>
  <c r="C18" i="27"/>
  <c r="C19" i="27" s="1"/>
  <c r="M13" i="27"/>
  <c r="C23" i="27"/>
  <c r="T51" i="59"/>
  <c r="T75" i="59"/>
  <c r="X51" i="46"/>
  <c r="Y51" i="46" s="1"/>
  <c r="X54" i="46"/>
  <c r="Y54" i="46" s="1"/>
  <c r="L70" i="40"/>
  <c r="M70" i="40"/>
  <c r="N70" i="40"/>
  <c r="N72" i="40" s="1"/>
  <c r="I63" i="40"/>
  <c r="L63" i="40"/>
  <c r="M63" i="40"/>
  <c r="N63" i="40"/>
  <c r="I57" i="40"/>
  <c r="L57" i="40"/>
  <c r="M57" i="40"/>
  <c r="M34" i="27" s="1"/>
  <c r="N57" i="40"/>
  <c r="I39" i="40"/>
  <c r="L39" i="40"/>
  <c r="M39" i="40"/>
  <c r="N39" i="40"/>
  <c r="I30" i="40"/>
  <c r="L30" i="40"/>
  <c r="M30" i="40"/>
  <c r="N30" i="40"/>
  <c r="N43" i="40" s="1"/>
  <c r="N35" i="27" s="1"/>
  <c r="I20" i="40"/>
  <c r="L20" i="40"/>
  <c r="L43" i="40" s="1"/>
  <c r="M20" i="40"/>
  <c r="N20" i="40"/>
  <c r="M43" i="40" l="1"/>
  <c r="M35" i="27" s="1"/>
  <c r="N34" i="27"/>
  <c r="L34" i="27"/>
  <c r="I34" i="27"/>
  <c r="L72" i="40"/>
  <c r="M72" i="40"/>
  <c r="I72" i="40"/>
  <c r="V45" i="48" l="1"/>
  <c r="V46" i="48"/>
  <c r="V47" i="48"/>
  <c r="V48" i="48"/>
  <c r="V49" i="48"/>
  <c r="V50" i="48"/>
  <c r="V51" i="48"/>
  <c r="V52" i="48"/>
  <c r="V53" i="48"/>
  <c r="V54" i="48"/>
  <c r="V55" i="48"/>
  <c r="V56" i="48"/>
  <c r="V57" i="48"/>
  <c r="V58" i="48"/>
  <c r="V59" i="48"/>
  <c r="X59" i="48" s="1"/>
  <c r="V60" i="48"/>
  <c r="V61" i="48"/>
  <c r="V62" i="48"/>
  <c r="V63" i="48"/>
  <c r="V64" i="48"/>
  <c r="V65" i="48"/>
  <c r="V66" i="48"/>
  <c r="V67" i="48"/>
  <c r="V68" i="48"/>
  <c r="V69" i="48"/>
  <c r="V70" i="48"/>
  <c r="V71" i="48"/>
  <c r="V72" i="48"/>
  <c r="V73" i="48"/>
  <c r="V74" i="48"/>
  <c r="X74" i="48" s="1"/>
  <c r="V75" i="48"/>
  <c r="W45" i="48"/>
  <c r="AB45" i="48" s="1"/>
  <c r="AC45" i="48" s="1"/>
  <c r="W46" i="48"/>
  <c r="AB46" i="48" s="1"/>
  <c r="AC46" i="48" s="1"/>
  <c r="W47" i="48"/>
  <c r="AB47" i="48" s="1"/>
  <c r="AC47" i="48" s="1"/>
  <c r="W48" i="48"/>
  <c r="AB48" i="48" s="1"/>
  <c r="AC48" i="48" s="1"/>
  <c r="W49" i="48"/>
  <c r="AB49" i="48" s="1"/>
  <c r="AC49" i="48" s="1"/>
  <c r="W50" i="48"/>
  <c r="AB50" i="48" s="1"/>
  <c r="AC50" i="48" s="1"/>
  <c r="W51" i="48"/>
  <c r="AB51" i="48" s="1"/>
  <c r="AC51" i="48" s="1"/>
  <c r="W52" i="48"/>
  <c r="AB52" i="48" s="1"/>
  <c r="AC52" i="48" s="1"/>
  <c r="W53" i="48"/>
  <c r="AB53" i="48" s="1"/>
  <c r="AC53" i="48" s="1"/>
  <c r="W54" i="48"/>
  <c r="AB54" i="48" s="1"/>
  <c r="AC54" i="48" s="1"/>
  <c r="W55" i="48"/>
  <c r="W56" i="48"/>
  <c r="AB56" i="48" s="1"/>
  <c r="AC56" i="48" s="1"/>
  <c r="W57" i="48"/>
  <c r="AB57" i="48" s="1"/>
  <c r="AC57" i="48" s="1"/>
  <c r="W58" i="48"/>
  <c r="AB58" i="48" s="1"/>
  <c r="AC58" i="48" s="1"/>
  <c r="W59" i="48"/>
  <c r="AB59" i="48" s="1"/>
  <c r="AC59" i="48" s="1"/>
  <c r="W60" i="48"/>
  <c r="AB60" i="48" s="1"/>
  <c r="AC60" i="48" s="1"/>
  <c r="W61" i="48"/>
  <c r="AB61" i="48" s="1"/>
  <c r="AC61" i="48" s="1"/>
  <c r="W62" i="48"/>
  <c r="AB62" i="48" s="1"/>
  <c r="AC62" i="48" s="1"/>
  <c r="W63" i="48"/>
  <c r="AB63" i="48" s="1"/>
  <c r="AC63" i="48" s="1"/>
  <c r="W64" i="48"/>
  <c r="AB64" i="48" s="1"/>
  <c r="AC64" i="48" s="1"/>
  <c r="W65" i="48"/>
  <c r="AB65" i="48" s="1"/>
  <c r="AC65" i="48" s="1"/>
  <c r="W66" i="48"/>
  <c r="AB66" i="48" s="1"/>
  <c r="AC66" i="48" s="1"/>
  <c r="W67" i="48"/>
  <c r="AB67" i="48" s="1"/>
  <c r="AC67" i="48" s="1"/>
  <c r="W68" i="48"/>
  <c r="AB68" i="48" s="1"/>
  <c r="AC68" i="48" s="1"/>
  <c r="W69" i="48"/>
  <c r="AB69" i="48" s="1"/>
  <c r="AC69" i="48" s="1"/>
  <c r="W70" i="48"/>
  <c r="AB70" i="48" s="1"/>
  <c r="AC70" i="48" s="1"/>
  <c r="W71" i="48"/>
  <c r="AB71" i="48" s="1"/>
  <c r="AC71" i="48" s="1"/>
  <c r="W72" i="48"/>
  <c r="AB72" i="48" s="1"/>
  <c r="AC72" i="48" s="1"/>
  <c r="W73" i="48"/>
  <c r="AB73" i="48" s="1"/>
  <c r="AC73" i="48" s="1"/>
  <c r="W74" i="48"/>
  <c r="AB74" i="48" s="1"/>
  <c r="AC74" i="48" s="1"/>
  <c r="W75" i="48"/>
  <c r="AB75" i="48" s="1"/>
  <c r="AC75" i="48" s="1"/>
  <c r="X46" i="53"/>
  <c r="X51" i="53"/>
  <c r="X52" i="53"/>
  <c r="X53" i="53"/>
  <c r="X54" i="53"/>
  <c r="X66" i="53"/>
  <c r="X68" i="53"/>
  <c r="X70" i="53"/>
  <c r="X68" i="48" l="1"/>
  <c r="X67" i="48"/>
  <c r="X52" i="48"/>
  <c r="X73" i="48"/>
  <c r="X65" i="48"/>
  <c r="X57" i="48"/>
  <c r="X51" i="48"/>
  <c r="X66" i="48"/>
  <c r="X58" i="48"/>
  <c r="X50" i="48"/>
  <c r="Y50" i="48" s="1"/>
  <c r="X50" i="53"/>
  <c r="Y50" i="53" s="1"/>
  <c r="X59" i="53"/>
  <c r="Y59" i="53" s="1"/>
  <c r="X73" i="53"/>
  <c r="Y73" i="53" s="1"/>
  <c r="X75" i="53"/>
  <c r="Y75" i="53" s="1"/>
  <c r="X57" i="53"/>
  <c r="Y57" i="53" s="1"/>
  <c r="X64" i="53"/>
  <c r="Y64" i="53" s="1"/>
  <c r="X71" i="53"/>
  <c r="Y71" i="53" s="1"/>
  <c r="X55" i="53"/>
  <c r="Y55" i="53" s="1"/>
  <c r="X47" i="53"/>
  <c r="X75" i="48"/>
  <c r="Y75" i="48" s="1"/>
  <c r="X49" i="48"/>
  <c r="Y49" i="48" s="1"/>
  <c r="X72" i="48"/>
  <c r="Y72" i="48" s="1"/>
  <c r="X64" i="48"/>
  <c r="Y64" i="48" s="1"/>
  <c r="X56" i="48"/>
  <c r="X48" i="48"/>
  <c r="Y48" i="48" s="1"/>
  <c r="X71" i="48"/>
  <c r="Y71" i="48" s="1"/>
  <c r="X63" i="48"/>
  <c r="Y63" i="48" s="1"/>
  <c r="X55" i="48"/>
  <c r="Y55" i="48" s="1"/>
  <c r="X47" i="48"/>
  <c r="Y47" i="48" s="1"/>
  <c r="X70" i="48"/>
  <c r="Y70" i="48" s="1"/>
  <c r="X62" i="48"/>
  <c r="Y62" i="48" s="1"/>
  <c r="X54" i="48"/>
  <c r="X46" i="48"/>
  <c r="Y46" i="48" s="1"/>
  <c r="X60" i="48"/>
  <c r="Y60" i="48" s="1"/>
  <c r="X69" i="48"/>
  <c r="Y69" i="48" s="1"/>
  <c r="X61" i="48"/>
  <c r="Y61" i="48" s="1"/>
  <c r="X53" i="48"/>
  <c r="Y53" i="48" s="1"/>
  <c r="X45" i="48"/>
  <c r="Y45" i="48" s="1"/>
  <c r="Y70" i="53"/>
  <c r="Y53" i="53"/>
  <c r="Y52" i="53"/>
  <c r="Y68" i="53"/>
  <c r="Y66" i="53"/>
  <c r="Y46" i="53"/>
  <c r="J23" i="27"/>
  <c r="I23" i="27"/>
  <c r="E23" i="27"/>
  <c r="D23" i="27"/>
  <c r="I14" i="27"/>
  <c r="I15" i="27" s="1"/>
  <c r="D15" i="27"/>
  <c r="C15" i="27"/>
  <c r="W82" i="68"/>
  <c r="V82" i="68"/>
  <c r="AA82" i="68" s="1"/>
  <c r="S82" i="68"/>
  <c r="T82" i="68" s="1"/>
  <c r="N82" i="68"/>
  <c r="O82" i="68" s="1"/>
  <c r="I82" i="68"/>
  <c r="J82" i="68" s="1"/>
  <c r="D82" i="68"/>
  <c r="E82" i="68" s="1"/>
  <c r="AC81" i="68"/>
  <c r="O81" i="68"/>
  <c r="J81" i="68"/>
  <c r="E81" i="68"/>
  <c r="S80" i="68"/>
  <c r="N80" i="68"/>
  <c r="I80" i="68"/>
  <c r="D80" i="68"/>
  <c r="Z79" i="68"/>
  <c r="Z81" i="68" s="1"/>
  <c r="U79" i="68"/>
  <c r="U81" i="68" s="1"/>
  <c r="P79" i="68"/>
  <c r="P81" i="68" s="1"/>
  <c r="K79" i="68"/>
  <c r="K81" i="68" s="1"/>
  <c r="F79" i="68"/>
  <c r="F81" i="68" s="1"/>
  <c r="AA76" i="68"/>
  <c r="R76" i="68"/>
  <c r="Q76" i="68"/>
  <c r="N76" i="68"/>
  <c r="M76" i="68"/>
  <c r="L76" i="68"/>
  <c r="H76" i="68"/>
  <c r="G76" i="68"/>
  <c r="C76" i="68"/>
  <c r="C79" i="68" s="1"/>
  <c r="B76" i="68"/>
  <c r="B78" i="68" s="1"/>
  <c r="W75" i="68"/>
  <c r="V75" i="68"/>
  <c r="T75" i="68"/>
  <c r="J75" i="68"/>
  <c r="E75" i="68"/>
  <c r="W74" i="68"/>
  <c r="V74" i="68"/>
  <c r="T74" i="68"/>
  <c r="J74" i="68"/>
  <c r="E74" i="68"/>
  <c r="W73" i="68"/>
  <c r="AB73" i="68" s="1"/>
  <c r="AC73" i="68" s="1"/>
  <c r="V73" i="68"/>
  <c r="J73" i="68"/>
  <c r="E73" i="68"/>
  <c r="W72" i="68"/>
  <c r="V72" i="68"/>
  <c r="T72" i="68"/>
  <c r="J72" i="68"/>
  <c r="E72" i="68"/>
  <c r="W71" i="68"/>
  <c r="V71" i="68"/>
  <c r="T71" i="68"/>
  <c r="E71" i="68"/>
  <c r="W70" i="68"/>
  <c r="V70" i="68"/>
  <c r="T70" i="68"/>
  <c r="E70" i="68"/>
  <c r="W69" i="68"/>
  <c r="V69" i="68"/>
  <c r="T69" i="68"/>
  <c r="E69" i="68"/>
  <c r="W68" i="68"/>
  <c r="AB68" i="68" s="1"/>
  <c r="AC68" i="68" s="1"/>
  <c r="V68" i="68"/>
  <c r="T68" i="68"/>
  <c r="E68" i="68"/>
  <c r="W67" i="68"/>
  <c r="V67" i="68"/>
  <c r="T67" i="68"/>
  <c r="E67" i="68"/>
  <c r="W66" i="68"/>
  <c r="V66" i="68"/>
  <c r="T66" i="68"/>
  <c r="E66" i="68"/>
  <c r="W65" i="68"/>
  <c r="V65" i="68"/>
  <c r="T65" i="68"/>
  <c r="O65" i="68"/>
  <c r="E65" i="68"/>
  <c r="W64" i="68"/>
  <c r="V64" i="68"/>
  <c r="T64" i="68"/>
  <c r="O64" i="68"/>
  <c r="E64" i="68"/>
  <c r="W63" i="68"/>
  <c r="V63" i="68"/>
  <c r="T63" i="68"/>
  <c r="O63" i="68"/>
  <c r="E63" i="68"/>
  <c r="W62" i="68"/>
  <c r="AB62" i="68" s="1"/>
  <c r="AC62" i="68" s="1"/>
  <c r="V62" i="68"/>
  <c r="T62" i="68"/>
  <c r="O62" i="68"/>
  <c r="E62" i="68"/>
  <c r="W61" i="68"/>
  <c r="AB61" i="68" s="1"/>
  <c r="AC61" i="68" s="1"/>
  <c r="V61" i="68"/>
  <c r="T61" i="68"/>
  <c r="O61" i="68"/>
  <c r="E61" i="68"/>
  <c r="W60" i="68"/>
  <c r="V60" i="68"/>
  <c r="T60" i="68"/>
  <c r="O60" i="68"/>
  <c r="E60" i="68"/>
  <c r="W59" i="68"/>
  <c r="V59" i="68"/>
  <c r="T59" i="68"/>
  <c r="O59" i="68"/>
  <c r="E59" i="68"/>
  <c r="W58" i="68"/>
  <c r="V58" i="68"/>
  <c r="T58" i="68"/>
  <c r="O58" i="68"/>
  <c r="E58" i="68"/>
  <c r="W57" i="68"/>
  <c r="AB57" i="68" s="1"/>
  <c r="AC57" i="68" s="1"/>
  <c r="V57" i="68"/>
  <c r="T57" i="68"/>
  <c r="O57" i="68"/>
  <c r="E57" i="68"/>
  <c r="W56" i="68"/>
  <c r="AB56" i="68" s="1"/>
  <c r="AC56" i="68" s="1"/>
  <c r="V56" i="68"/>
  <c r="T56" i="68"/>
  <c r="O56" i="68"/>
  <c r="E56" i="68"/>
  <c r="W55" i="68"/>
  <c r="V55" i="68"/>
  <c r="T55" i="68"/>
  <c r="O55" i="68"/>
  <c r="E55" i="68"/>
  <c r="Y54" i="68"/>
  <c r="W53" i="68"/>
  <c r="V53" i="68"/>
  <c r="T53" i="68"/>
  <c r="O53" i="68"/>
  <c r="E53" i="68"/>
  <c r="W52" i="68"/>
  <c r="V52" i="68"/>
  <c r="T52" i="68"/>
  <c r="O52" i="68"/>
  <c r="E52" i="68"/>
  <c r="S76" i="68"/>
  <c r="I76" i="68"/>
  <c r="E51" i="68"/>
  <c r="W50" i="68"/>
  <c r="AB50" i="68" s="1"/>
  <c r="AC50" i="68" s="1"/>
  <c r="V50" i="68"/>
  <c r="T50" i="68"/>
  <c r="O50" i="68"/>
  <c r="E50" i="68"/>
  <c r="W49" i="68"/>
  <c r="AB49" i="68" s="1"/>
  <c r="AC49" i="68" s="1"/>
  <c r="V49" i="68"/>
  <c r="T49" i="68"/>
  <c r="O49" i="68"/>
  <c r="J49" i="68"/>
  <c r="E49" i="68"/>
  <c r="W48" i="68"/>
  <c r="AB48" i="68" s="1"/>
  <c r="AC48" i="68" s="1"/>
  <c r="V48" i="68"/>
  <c r="T48" i="68"/>
  <c r="O48" i="68"/>
  <c r="J48" i="68"/>
  <c r="E48" i="68"/>
  <c r="W47" i="68"/>
  <c r="AB47" i="68" s="1"/>
  <c r="AC47" i="68" s="1"/>
  <c r="V47" i="68"/>
  <c r="T47" i="68"/>
  <c r="O47" i="68"/>
  <c r="J47" i="68"/>
  <c r="E47" i="68"/>
  <c r="W46" i="68"/>
  <c r="AB46" i="68" s="1"/>
  <c r="AC46" i="68" s="1"/>
  <c r="V46" i="68"/>
  <c r="T46" i="68"/>
  <c r="O46" i="68"/>
  <c r="J46" i="68"/>
  <c r="E46" i="68"/>
  <c r="W45" i="68"/>
  <c r="V45" i="68"/>
  <c r="T45" i="68"/>
  <c r="O45" i="68"/>
  <c r="J45" i="68"/>
  <c r="E45" i="68"/>
  <c r="V44" i="68"/>
  <c r="T44" i="68"/>
  <c r="O44" i="68"/>
  <c r="J44" i="68"/>
  <c r="E44" i="68"/>
  <c r="AA41" i="68"/>
  <c r="S41" i="68"/>
  <c r="R41" i="68"/>
  <c r="Q41" i="68"/>
  <c r="N41" i="68"/>
  <c r="M41" i="68"/>
  <c r="L41" i="68"/>
  <c r="I41" i="68"/>
  <c r="H41" i="68"/>
  <c r="G41" i="68"/>
  <c r="W40" i="68"/>
  <c r="V40" i="68"/>
  <c r="T40" i="68"/>
  <c r="O40" i="68"/>
  <c r="J40" i="68"/>
  <c r="AB39" i="68"/>
  <c r="AC39" i="68" s="1"/>
  <c r="Y39" i="68"/>
  <c r="T39" i="68"/>
  <c r="J39" i="68"/>
  <c r="AB38" i="68"/>
  <c r="AC38" i="68" s="1"/>
  <c r="V38" i="68"/>
  <c r="X38" i="68" s="1"/>
  <c r="Y38" i="68" s="1"/>
  <c r="T38" i="68"/>
  <c r="J38" i="68"/>
  <c r="W37" i="68"/>
  <c r="V37" i="68"/>
  <c r="T37" i="68"/>
  <c r="J37" i="68"/>
  <c r="W36" i="68"/>
  <c r="V36" i="68"/>
  <c r="T36" i="68"/>
  <c r="J36" i="68"/>
  <c r="W35" i="68"/>
  <c r="V35" i="68"/>
  <c r="T35" i="68"/>
  <c r="J35" i="68"/>
  <c r="AB34" i="68"/>
  <c r="AC34" i="68" s="1"/>
  <c r="T34" i="68"/>
  <c r="J34" i="68"/>
  <c r="W33" i="68"/>
  <c r="V33" i="68"/>
  <c r="T33" i="68"/>
  <c r="O33" i="68"/>
  <c r="J33" i="68"/>
  <c r="T28" i="68"/>
  <c r="W27" i="68"/>
  <c r="AB27" i="68" s="1"/>
  <c r="AC27" i="68" s="1"/>
  <c r="V27" i="68"/>
  <c r="S27" i="68"/>
  <c r="T27" i="68" s="1"/>
  <c r="N27" i="68"/>
  <c r="O27" i="68" s="1"/>
  <c r="I27" i="68"/>
  <c r="J27" i="68" s="1"/>
  <c r="D27" i="68"/>
  <c r="E27" i="68" s="1"/>
  <c r="T26" i="68"/>
  <c r="AA25" i="68"/>
  <c r="AA29" i="68" s="1"/>
  <c r="R25" i="68"/>
  <c r="R29" i="68" s="1"/>
  <c r="Q25" i="68"/>
  <c r="Q29" i="68" s="1"/>
  <c r="M29" i="68"/>
  <c r="L25" i="68"/>
  <c r="L29" i="68" s="1"/>
  <c r="B25" i="68"/>
  <c r="AB24" i="68"/>
  <c r="AC24" i="68" s="1"/>
  <c r="S24" i="68"/>
  <c r="T24" i="68" s="1"/>
  <c r="N24" i="68"/>
  <c r="O24" i="68" s="1"/>
  <c r="I24" i="68"/>
  <c r="J24" i="68" s="1"/>
  <c r="D24" i="68"/>
  <c r="E24" i="68" s="1"/>
  <c r="AB23" i="68"/>
  <c r="AC23" i="68" s="1"/>
  <c r="X23" i="68"/>
  <c r="Y23" i="68" s="1"/>
  <c r="S23" i="68"/>
  <c r="T23" i="68" s="1"/>
  <c r="N23" i="68"/>
  <c r="O23" i="68" s="1"/>
  <c r="I23" i="68"/>
  <c r="J23" i="68" s="1"/>
  <c r="D23" i="68"/>
  <c r="E23" i="68" s="1"/>
  <c r="AB22" i="68"/>
  <c r="AC22" i="68" s="1"/>
  <c r="S22" i="68"/>
  <c r="T22" i="68" s="1"/>
  <c r="N22" i="68"/>
  <c r="O22" i="68" s="1"/>
  <c r="I22" i="68"/>
  <c r="J22" i="68" s="1"/>
  <c r="E22" i="68"/>
  <c r="AB21" i="68"/>
  <c r="AC21" i="68" s="1"/>
  <c r="S21" i="68"/>
  <c r="T21" i="68" s="1"/>
  <c r="N21" i="68"/>
  <c r="O21" i="68" s="1"/>
  <c r="V21" i="68"/>
  <c r="X21" i="68" s="1"/>
  <c r="Y21" i="68" s="1"/>
  <c r="E21" i="68"/>
  <c r="AB20" i="68"/>
  <c r="AC20" i="68" s="1"/>
  <c r="S20" i="68"/>
  <c r="T20" i="68" s="1"/>
  <c r="N20" i="68"/>
  <c r="O20" i="68" s="1"/>
  <c r="V20" i="68"/>
  <c r="D20" i="68"/>
  <c r="E20" i="68" s="1"/>
  <c r="AB18" i="68"/>
  <c r="AC18" i="68" s="1"/>
  <c r="X18" i="68"/>
  <c r="Y18" i="68" s="1"/>
  <c r="S18" i="68"/>
  <c r="T18" i="68" s="1"/>
  <c r="N18" i="68"/>
  <c r="O18" i="68" s="1"/>
  <c r="I18" i="68"/>
  <c r="J18" i="68" s="1"/>
  <c r="D18" i="68"/>
  <c r="E18" i="68" s="1"/>
  <c r="AB17" i="68"/>
  <c r="AC17" i="68" s="1"/>
  <c r="S17" i="68"/>
  <c r="T17" i="68" s="1"/>
  <c r="N17" i="68"/>
  <c r="O17" i="68" s="1"/>
  <c r="I17" i="68"/>
  <c r="J17" i="68" s="1"/>
  <c r="D17" i="68"/>
  <c r="E17" i="68" s="1"/>
  <c r="S16" i="68"/>
  <c r="T16" i="68" s="1"/>
  <c r="N16" i="68"/>
  <c r="O16" i="68" s="1"/>
  <c r="W16" i="68"/>
  <c r="AB16" i="68" s="1"/>
  <c r="AC16" i="68" s="1"/>
  <c r="V16" i="68"/>
  <c r="D16" i="68"/>
  <c r="E16" i="68" s="1"/>
  <c r="AB15" i="68"/>
  <c r="AC15" i="68" s="1"/>
  <c r="S15" i="68"/>
  <c r="T15" i="68" s="1"/>
  <c r="N15" i="68"/>
  <c r="O15" i="68" s="1"/>
  <c r="I15" i="68"/>
  <c r="J15" i="68" s="1"/>
  <c r="D15" i="68"/>
  <c r="E15" i="68" s="1"/>
  <c r="X14" i="68"/>
  <c r="AB14" i="68"/>
  <c r="AC14" i="68" s="1"/>
  <c r="S14" i="68"/>
  <c r="N14" i="68"/>
  <c r="D14" i="68"/>
  <c r="F70" i="69"/>
  <c r="F72" i="69" s="1"/>
  <c r="E70" i="69"/>
  <c r="D70" i="69"/>
  <c r="C70" i="69"/>
  <c r="B70" i="69"/>
  <c r="E63" i="69"/>
  <c r="D63" i="69"/>
  <c r="C63" i="69"/>
  <c r="B63" i="69"/>
  <c r="E57" i="69"/>
  <c r="D57" i="69"/>
  <c r="C57" i="69"/>
  <c r="B57" i="69"/>
  <c r="E39" i="69"/>
  <c r="D39" i="69"/>
  <c r="C39" i="69"/>
  <c r="B39" i="69"/>
  <c r="F39" i="69"/>
  <c r="F43" i="69" s="1"/>
  <c r="M14" i="27" s="1"/>
  <c r="E30" i="69"/>
  <c r="D30" i="69"/>
  <c r="C30" i="69"/>
  <c r="B30" i="69"/>
  <c r="W82" i="67"/>
  <c r="V82" i="67"/>
  <c r="AA82" i="67" s="1"/>
  <c r="AB82" i="67" s="1"/>
  <c r="AC82" i="67" s="1"/>
  <c r="S82" i="67"/>
  <c r="T82" i="67" s="1"/>
  <c r="O82" i="67"/>
  <c r="N82" i="67"/>
  <c r="I82" i="67"/>
  <c r="J82" i="67" s="1"/>
  <c r="D82" i="67"/>
  <c r="E82" i="67" s="1"/>
  <c r="AC81" i="67"/>
  <c r="Y81" i="67"/>
  <c r="T81" i="67"/>
  <c r="O81" i="67"/>
  <c r="J81" i="67"/>
  <c r="E81" i="67"/>
  <c r="S80" i="67"/>
  <c r="N80" i="67"/>
  <c r="I80" i="67"/>
  <c r="D80" i="67"/>
  <c r="Z79" i="67"/>
  <c r="Z81" i="67" s="1"/>
  <c r="U79" i="67"/>
  <c r="U81" i="67" s="1"/>
  <c r="P79" i="67"/>
  <c r="P81" i="67" s="1"/>
  <c r="K79" i="67"/>
  <c r="K81" i="67" s="1"/>
  <c r="F79" i="67"/>
  <c r="F81" i="67" s="1"/>
  <c r="R76" i="67"/>
  <c r="Q76" i="67"/>
  <c r="M76" i="67"/>
  <c r="L76" i="67"/>
  <c r="H76" i="67"/>
  <c r="G76" i="67"/>
  <c r="C76" i="67"/>
  <c r="B76" i="67"/>
  <c r="T75" i="67"/>
  <c r="O75" i="67"/>
  <c r="J75" i="67"/>
  <c r="E75" i="67"/>
  <c r="T74" i="67"/>
  <c r="O74" i="67"/>
  <c r="J74" i="67"/>
  <c r="E74" i="67"/>
  <c r="AC73" i="67"/>
  <c r="J73" i="67"/>
  <c r="E73" i="67"/>
  <c r="T72" i="67"/>
  <c r="O72" i="67"/>
  <c r="J72" i="67"/>
  <c r="E72" i="67"/>
  <c r="AB71" i="67"/>
  <c r="AC71" i="67" s="1"/>
  <c r="T71" i="67"/>
  <c r="O71" i="67"/>
  <c r="J71" i="67"/>
  <c r="E71" i="67"/>
  <c r="AB70" i="67"/>
  <c r="AC70" i="67" s="1"/>
  <c r="T70" i="67"/>
  <c r="O70" i="67"/>
  <c r="J70" i="67"/>
  <c r="E70" i="67"/>
  <c r="AB69" i="67"/>
  <c r="AC69" i="67" s="1"/>
  <c r="T69" i="67"/>
  <c r="O69" i="67"/>
  <c r="J69" i="67"/>
  <c r="E69" i="67"/>
  <c r="AB68" i="67"/>
  <c r="AC68" i="67" s="1"/>
  <c r="T68" i="67"/>
  <c r="O68" i="67"/>
  <c r="J68" i="67"/>
  <c r="E68" i="67"/>
  <c r="T67" i="67"/>
  <c r="O67" i="67"/>
  <c r="J67" i="67"/>
  <c r="E67" i="67"/>
  <c r="T66" i="67"/>
  <c r="O66" i="67"/>
  <c r="J66" i="67"/>
  <c r="E66" i="67"/>
  <c r="AB65" i="67"/>
  <c r="AC65" i="67" s="1"/>
  <c r="T65" i="67"/>
  <c r="O65" i="67"/>
  <c r="J65" i="67"/>
  <c r="E65" i="67"/>
  <c r="T64" i="67"/>
  <c r="O64" i="67"/>
  <c r="J64" i="67"/>
  <c r="E64" i="67"/>
  <c r="Y63" i="67"/>
  <c r="T63" i="67"/>
  <c r="O63" i="67"/>
  <c r="J63" i="67"/>
  <c r="E63" i="67"/>
  <c r="T62" i="67"/>
  <c r="O62" i="67"/>
  <c r="J62" i="67"/>
  <c r="E62" i="67"/>
  <c r="T61" i="67"/>
  <c r="O61" i="67"/>
  <c r="J61" i="67"/>
  <c r="E61" i="67"/>
  <c r="AB60" i="67"/>
  <c r="AC60" i="67" s="1"/>
  <c r="T60" i="67"/>
  <c r="O60" i="67"/>
  <c r="J60" i="67"/>
  <c r="E60" i="67"/>
  <c r="T59" i="67"/>
  <c r="O59" i="67"/>
  <c r="J59" i="67"/>
  <c r="E59" i="67"/>
  <c r="T58" i="67"/>
  <c r="O58" i="67"/>
  <c r="J58" i="67"/>
  <c r="E58" i="67"/>
  <c r="AB57" i="67"/>
  <c r="AC57" i="67" s="1"/>
  <c r="T57" i="67"/>
  <c r="O57" i="67"/>
  <c r="J57" i="67"/>
  <c r="E57" i="67"/>
  <c r="AB56" i="67"/>
  <c r="AC56" i="67" s="1"/>
  <c r="T56" i="67"/>
  <c r="O56" i="67"/>
  <c r="J56" i="67"/>
  <c r="E56" i="67"/>
  <c r="AC55" i="67"/>
  <c r="T55" i="67"/>
  <c r="O55" i="67"/>
  <c r="J55" i="67"/>
  <c r="E55" i="67"/>
  <c r="T53" i="67"/>
  <c r="O53" i="67"/>
  <c r="J53" i="67"/>
  <c r="E53" i="67"/>
  <c r="T52" i="67"/>
  <c r="O52" i="67"/>
  <c r="J52" i="67"/>
  <c r="E52" i="67"/>
  <c r="Y50" i="67"/>
  <c r="T50" i="67"/>
  <c r="O50" i="67"/>
  <c r="J50" i="67"/>
  <c r="E50" i="67"/>
  <c r="T49" i="67"/>
  <c r="O49" i="67"/>
  <c r="J49" i="67"/>
  <c r="E49" i="67"/>
  <c r="AB48" i="67"/>
  <c r="AC48" i="67" s="1"/>
  <c r="T48" i="67"/>
  <c r="O48" i="67"/>
  <c r="J48" i="67"/>
  <c r="E48" i="67"/>
  <c r="Y47" i="67"/>
  <c r="T47" i="67"/>
  <c r="O47" i="67"/>
  <c r="J47" i="67"/>
  <c r="E47" i="67"/>
  <c r="AB46" i="67"/>
  <c r="AC46" i="67" s="1"/>
  <c r="T46" i="67"/>
  <c r="O46" i="67"/>
  <c r="J46" i="67"/>
  <c r="E46" i="67"/>
  <c r="AB45" i="67"/>
  <c r="AC45" i="67" s="1"/>
  <c r="T45" i="67"/>
  <c r="O45" i="67"/>
  <c r="J45" i="67"/>
  <c r="E45" i="67"/>
  <c r="T44" i="67"/>
  <c r="O44" i="67"/>
  <c r="J44" i="67"/>
  <c r="AA41" i="67"/>
  <c r="AA78" i="67" s="1"/>
  <c r="R41" i="67"/>
  <c r="Q41" i="67"/>
  <c r="M41" i="67"/>
  <c r="L41" i="67"/>
  <c r="H41" i="67"/>
  <c r="G41" i="67"/>
  <c r="C41" i="67"/>
  <c r="B41" i="67"/>
  <c r="B78" i="67" s="1"/>
  <c r="T40" i="67"/>
  <c r="O40" i="67"/>
  <c r="J40" i="67"/>
  <c r="E40" i="67"/>
  <c r="T39" i="67"/>
  <c r="O39" i="67"/>
  <c r="J39" i="67"/>
  <c r="E39" i="67"/>
  <c r="T38" i="67"/>
  <c r="O38" i="67"/>
  <c r="J38" i="67"/>
  <c r="E38" i="67"/>
  <c r="T37" i="67"/>
  <c r="O37" i="67"/>
  <c r="J37" i="67"/>
  <c r="E37" i="67"/>
  <c r="AB36" i="67"/>
  <c r="AC36" i="67" s="1"/>
  <c r="X36" i="67"/>
  <c r="T36" i="67"/>
  <c r="O36" i="67"/>
  <c r="J36" i="67"/>
  <c r="E36" i="67"/>
  <c r="T35" i="67"/>
  <c r="O35" i="67"/>
  <c r="J35" i="67"/>
  <c r="E35" i="67"/>
  <c r="T34" i="67"/>
  <c r="O34" i="67"/>
  <c r="J34" i="67"/>
  <c r="E34" i="67"/>
  <c r="T33" i="67"/>
  <c r="J33" i="67"/>
  <c r="I41" i="67"/>
  <c r="D41" i="67"/>
  <c r="T28" i="67"/>
  <c r="S27" i="67"/>
  <c r="T27" i="67" s="1"/>
  <c r="N27" i="67"/>
  <c r="O27" i="67" s="1"/>
  <c r="I27" i="67"/>
  <c r="J27" i="67" s="1"/>
  <c r="D27" i="67"/>
  <c r="E27" i="67" s="1"/>
  <c r="T26" i="67"/>
  <c r="AA25" i="67"/>
  <c r="R25" i="67"/>
  <c r="R29" i="67" s="1"/>
  <c r="Q25" i="67"/>
  <c r="Q29" i="67" s="1"/>
  <c r="M29" i="67"/>
  <c r="L29" i="67"/>
  <c r="H25" i="67"/>
  <c r="H29" i="67" s="1"/>
  <c r="G25" i="67"/>
  <c r="G29" i="67" s="1"/>
  <c r="C25" i="67"/>
  <c r="C29" i="67" s="1"/>
  <c r="B25" i="67"/>
  <c r="AC24" i="67"/>
  <c r="S24" i="67"/>
  <c r="T24" i="67" s="1"/>
  <c r="I24" i="67"/>
  <c r="J24" i="67" s="1"/>
  <c r="D24" i="67"/>
  <c r="E24" i="67" s="1"/>
  <c r="S23" i="67"/>
  <c r="T23" i="67" s="1"/>
  <c r="I23" i="67"/>
  <c r="J23" i="67" s="1"/>
  <c r="E23" i="67"/>
  <c r="D23" i="67"/>
  <c r="AC22" i="67"/>
  <c r="S22" i="67"/>
  <c r="T22" i="67" s="1"/>
  <c r="I22" i="67"/>
  <c r="J22" i="67" s="1"/>
  <c r="D22" i="67"/>
  <c r="E22" i="67" s="1"/>
  <c r="S21" i="67"/>
  <c r="T21" i="67" s="1"/>
  <c r="I21" i="67"/>
  <c r="J21" i="67" s="1"/>
  <c r="E21" i="67"/>
  <c r="AC20" i="67"/>
  <c r="S20" i="67"/>
  <c r="T20" i="67" s="1"/>
  <c r="I20" i="67"/>
  <c r="J20" i="67" s="1"/>
  <c r="AC18" i="67"/>
  <c r="S18" i="67"/>
  <c r="T18" i="67" s="1"/>
  <c r="O18" i="67"/>
  <c r="I18" i="67"/>
  <c r="J18" i="67" s="1"/>
  <c r="S17" i="67"/>
  <c r="T17" i="67" s="1"/>
  <c r="O17" i="67"/>
  <c r="I17" i="67"/>
  <c r="J17" i="67" s="1"/>
  <c r="D17" i="67"/>
  <c r="E17" i="67" s="1"/>
  <c r="AC16" i="67"/>
  <c r="S16" i="67"/>
  <c r="T16" i="67" s="1"/>
  <c r="O16" i="67"/>
  <c r="I16" i="67"/>
  <c r="J16" i="67" s="1"/>
  <c r="D16" i="67"/>
  <c r="E16" i="67" s="1"/>
  <c r="AC15" i="67"/>
  <c r="S15" i="67"/>
  <c r="T15" i="67" s="1"/>
  <c r="O15" i="67"/>
  <c r="I15" i="67"/>
  <c r="D15" i="67"/>
  <c r="E15" i="67" s="1"/>
  <c r="S14" i="67"/>
  <c r="I14" i="67"/>
  <c r="J14" i="67" s="1"/>
  <c r="D14" i="67"/>
  <c r="F70" i="66"/>
  <c r="E70" i="66"/>
  <c r="D70" i="66"/>
  <c r="F63" i="66"/>
  <c r="E63" i="66"/>
  <c r="D63" i="66"/>
  <c r="C63" i="66"/>
  <c r="B63" i="66"/>
  <c r="F57" i="66"/>
  <c r="L13" i="27" s="1"/>
  <c r="E57" i="66"/>
  <c r="D57" i="66"/>
  <c r="D72" i="66" s="1"/>
  <c r="B57" i="66"/>
  <c r="B72" i="66" s="1"/>
  <c r="F39" i="66"/>
  <c r="E39" i="66"/>
  <c r="D39" i="66"/>
  <c r="C39" i="66"/>
  <c r="B39" i="66"/>
  <c r="F30" i="66"/>
  <c r="E30" i="66"/>
  <c r="E43" i="66" s="1"/>
  <c r="D30" i="66"/>
  <c r="C30" i="66"/>
  <c r="B30" i="66"/>
  <c r="F20" i="66"/>
  <c r="D20" i="66"/>
  <c r="C20" i="66"/>
  <c r="B20" i="66"/>
  <c r="K32" i="27"/>
  <c r="K26" i="27"/>
  <c r="B26" i="27" s="1"/>
  <c r="W82" i="53"/>
  <c r="AB82" i="53" s="1"/>
  <c r="AC82" i="53" s="1"/>
  <c r="V82" i="53"/>
  <c r="S82" i="53"/>
  <c r="T82" i="53" s="1"/>
  <c r="N82" i="53"/>
  <c r="O82" i="53" s="1"/>
  <c r="I82" i="53"/>
  <c r="J82" i="53" s="1"/>
  <c r="D82" i="53"/>
  <c r="E82" i="53" s="1"/>
  <c r="AC81" i="53"/>
  <c r="Y81" i="53"/>
  <c r="T81" i="53"/>
  <c r="O81" i="53"/>
  <c r="J81" i="53"/>
  <c r="E81" i="53"/>
  <c r="S80" i="53"/>
  <c r="N80" i="53"/>
  <c r="I80" i="53"/>
  <c r="D80" i="53"/>
  <c r="Z79" i="53"/>
  <c r="Z81" i="53" s="1"/>
  <c r="U79" i="53"/>
  <c r="U81" i="53" s="1"/>
  <c r="P79" i="53"/>
  <c r="P81" i="53" s="1"/>
  <c r="K79" i="53"/>
  <c r="K81" i="53" s="1"/>
  <c r="F79" i="53"/>
  <c r="F81" i="53" s="1"/>
  <c r="AA76" i="53"/>
  <c r="W76" i="53"/>
  <c r="R76" i="53"/>
  <c r="M76" i="53"/>
  <c r="H76" i="53"/>
  <c r="C76" i="53"/>
  <c r="B76" i="53"/>
  <c r="AB75" i="53"/>
  <c r="AC75" i="53" s="1"/>
  <c r="T75" i="53"/>
  <c r="O75" i="53"/>
  <c r="J75" i="53"/>
  <c r="E75" i="53"/>
  <c r="AC74" i="53"/>
  <c r="T74" i="53"/>
  <c r="J74" i="53"/>
  <c r="AB73" i="53"/>
  <c r="AC73" i="53" s="1"/>
  <c r="J73" i="53"/>
  <c r="E73" i="53"/>
  <c r="AC72" i="53"/>
  <c r="T72" i="53"/>
  <c r="O72" i="53"/>
  <c r="E72" i="53"/>
  <c r="AB71" i="53"/>
  <c r="AC71" i="53" s="1"/>
  <c r="T71" i="53"/>
  <c r="O71" i="53"/>
  <c r="J71" i="53"/>
  <c r="E71" i="53"/>
  <c r="AB70" i="53"/>
  <c r="AC70" i="53" s="1"/>
  <c r="T70" i="53"/>
  <c r="O70" i="53"/>
  <c r="J70" i="53"/>
  <c r="E70" i="53"/>
  <c r="AB69" i="53"/>
  <c r="AC69" i="53" s="1"/>
  <c r="T69" i="53"/>
  <c r="O69" i="53"/>
  <c r="G69" i="46"/>
  <c r="E69" i="53"/>
  <c r="AB68" i="53"/>
  <c r="AC68" i="53" s="1"/>
  <c r="T68" i="53"/>
  <c r="O68" i="53"/>
  <c r="J68" i="53"/>
  <c r="E68" i="53"/>
  <c r="AC67" i="53"/>
  <c r="T67" i="53"/>
  <c r="O67" i="53"/>
  <c r="J67" i="53"/>
  <c r="E67" i="53"/>
  <c r="AB66" i="53"/>
  <c r="AC66" i="53" s="1"/>
  <c r="T66" i="53"/>
  <c r="O66" i="53"/>
  <c r="J66" i="53"/>
  <c r="E66" i="53"/>
  <c r="AC65" i="53"/>
  <c r="T65" i="53"/>
  <c r="E65" i="53"/>
  <c r="AB64" i="53"/>
  <c r="AC64" i="53" s="1"/>
  <c r="T64" i="53"/>
  <c r="O64" i="53"/>
  <c r="J64" i="53"/>
  <c r="E64" i="53"/>
  <c r="AB63" i="53"/>
  <c r="AC63" i="53" s="1"/>
  <c r="T63" i="53"/>
  <c r="O63" i="53"/>
  <c r="J63" i="53"/>
  <c r="E63" i="53"/>
  <c r="AB62" i="53"/>
  <c r="T62" i="53"/>
  <c r="O62" i="53"/>
  <c r="E62" i="53"/>
  <c r="AC61" i="53"/>
  <c r="T61" i="53"/>
  <c r="O61" i="53"/>
  <c r="J61" i="53"/>
  <c r="E61" i="53"/>
  <c r="AB60" i="53"/>
  <c r="AC60" i="53" s="1"/>
  <c r="T60" i="53"/>
  <c r="O60" i="53"/>
  <c r="E60" i="53"/>
  <c r="AB59" i="53"/>
  <c r="AC59" i="53" s="1"/>
  <c r="T59" i="53"/>
  <c r="O59" i="53"/>
  <c r="J59" i="53"/>
  <c r="E59" i="53"/>
  <c r="AB58" i="53"/>
  <c r="AC58" i="53" s="1"/>
  <c r="T58" i="53"/>
  <c r="O58" i="53"/>
  <c r="J58" i="53"/>
  <c r="E58" i="53"/>
  <c r="AB57" i="53"/>
  <c r="AC57" i="53" s="1"/>
  <c r="T57" i="53"/>
  <c r="O57" i="53"/>
  <c r="J57" i="53"/>
  <c r="E57" i="53"/>
  <c r="AB56" i="53"/>
  <c r="AC56" i="53" s="1"/>
  <c r="T56" i="53"/>
  <c r="O56" i="53"/>
  <c r="E56" i="53"/>
  <c r="AC55" i="53"/>
  <c r="T55" i="53"/>
  <c r="O55" i="53"/>
  <c r="J55" i="53"/>
  <c r="E55" i="53"/>
  <c r="AC53" i="53"/>
  <c r="T53" i="53"/>
  <c r="O53" i="53"/>
  <c r="J53" i="53"/>
  <c r="E53" i="53"/>
  <c r="AB52" i="53"/>
  <c r="AC52" i="53" s="1"/>
  <c r="T52" i="53"/>
  <c r="O52" i="53"/>
  <c r="J52" i="53"/>
  <c r="E52" i="53"/>
  <c r="E51" i="53"/>
  <c r="AB50" i="53"/>
  <c r="AC50" i="53" s="1"/>
  <c r="T50" i="53"/>
  <c r="O50" i="53"/>
  <c r="J50" i="53"/>
  <c r="E50" i="53"/>
  <c r="AC49" i="53"/>
  <c r="T49" i="53"/>
  <c r="O49" i="53"/>
  <c r="J49" i="53"/>
  <c r="AC48" i="53"/>
  <c r="T48" i="53"/>
  <c r="O48" i="53"/>
  <c r="J48" i="53"/>
  <c r="AB47" i="53"/>
  <c r="AC47" i="53" s="1"/>
  <c r="T47" i="53"/>
  <c r="O47" i="53"/>
  <c r="AB46" i="53"/>
  <c r="AC46" i="53" s="1"/>
  <c r="T46" i="53"/>
  <c r="O46" i="53"/>
  <c r="J46" i="53"/>
  <c r="T45" i="53"/>
  <c r="J45" i="53"/>
  <c r="E45" i="53"/>
  <c r="AC44" i="53"/>
  <c r="X44" i="53"/>
  <c r="T44" i="53"/>
  <c r="O44" i="53"/>
  <c r="J44" i="53"/>
  <c r="R41" i="53"/>
  <c r="M41" i="53"/>
  <c r="H41" i="53"/>
  <c r="C41" i="53"/>
  <c r="B41" i="53"/>
  <c r="T40" i="53"/>
  <c r="O40" i="53"/>
  <c r="J40" i="53"/>
  <c r="E40" i="53"/>
  <c r="T39" i="53"/>
  <c r="O39" i="53"/>
  <c r="J39" i="53"/>
  <c r="E39" i="53"/>
  <c r="T38" i="53"/>
  <c r="O38" i="53"/>
  <c r="J38" i="53"/>
  <c r="E38" i="53"/>
  <c r="T37" i="53"/>
  <c r="O37" i="53"/>
  <c r="J37" i="53"/>
  <c r="E37" i="53"/>
  <c r="T36" i="53"/>
  <c r="O36" i="53"/>
  <c r="J36" i="53"/>
  <c r="E36" i="53"/>
  <c r="AC35" i="53"/>
  <c r="X35" i="53"/>
  <c r="T35" i="53"/>
  <c r="O35" i="53"/>
  <c r="J35" i="53"/>
  <c r="E35" i="53"/>
  <c r="T34" i="53"/>
  <c r="O34" i="53"/>
  <c r="J34" i="53"/>
  <c r="E34" i="53"/>
  <c r="Q41" i="53"/>
  <c r="L41" i="53"/>
  <c r="G41" i="53"/>
  <c r="T28" i="53"/>
  <c r="AC27" i="53"/>
  <c r="S27" i="53"/>
  <c r="T27" i="53" s="1"/>
  <c r="N27" i="53"/>
  <c r="I27" i="53"/>
  <c r="J27" i="53" s="1"/>
  <c r="D27" i="53"/>
  <c r="E27" i="53" s="1"/>
  <c r="T26" i="53"/>
  <c r="M29" i="53"/>
  <c r="H29" i="53"/>
  <c r="AC24" i="53"/>
  <c r="S24" i="53"/>
  <c r="T24" i="53" s="1"/>
  <c r="N24" i="53"/>
  <c r="O24" i="53" s="1"/>
  <c r="I24" i="53"/>
  <c r="J24" i="53" s="1"/>
  <c r="E24" i="53"/>
  <c r="AC23" i="53"/>
  <c r="S23" i="53"/>
  <c r="T23" i="53" s="1"/>
  <c r="N23" i="53"/>
  <c r="O23" i="53" s="1"/>
  <c r="I23" i="53"/>
  <c r="J23" i="53" s="1"/>
  <c r="E23" i="53"/>
  <c r="AC22" i="53"/>
  <c r="S22" i="53"/>
  <c r="T22" i="53" s="1"/>
  <c r="N22" i="53"/>
  <c r="O22" i="53" s="1"/>
  <c r="I22" i="53"/>
  <c r="J22" i="53" s="1"/>
  <c r="E22" i="53"/>
  <c r="AC21" i="53"/>
  <c r="S21" i="53"/>
  <c r="T21" i="53" s="1"/>
  <c r="N21" i="53"/>
  <c r="O21" i="53" s="1"/>
  <c r="I21" i="53"/>
  <c r="J21" i="53" s="1"/>
  <c r="E21" i="53"/>
  <c r="AC20" i="53"/>
  <c r="S20" i="53"/>
  <c r="T20" i="53" s="1"/>
  <c r="N20" i="53"/>
  <c r="O20" i="53" s="1"/>
  <c r="I20" i="53"/>
  <c r="J20" i="53" s="1"/>
  <c r="E20" i="53"/>
  <c r="AC19" i="53"/>
  <c r="N19" i="53"/>
  <c r="G29" i="53"/>
  <c r="E19" i="53"/>
  <c r="S18" i="53"/>
  <c r="O18" i="53"/>
  <c r="I18" i="53"/>
  <c r="J18" i="53" s="1"/>
  <c r="E18" i="53"/>
  <c r="AC17" i="53"/>
  <c r="S17" i="53"/>
  <c r="T17" i="53" s="1"/>
  <c r="O17" i="53"/>
  <c r="I17" i="53"/>
  <c r="J17" i="53" s="1"/>
  <c r="E17" i="53"/>
  <c r="AC16" i="53"/>
  <c r="S16" i="53"/>
  <c r="T16" i="53" s="1"/>
  <c r="N16" i="53"/>
  <c r="O16" i="53" s="1"/>
  <c r="I16" i="53"/>
  <c r="E16" i="53"/>
  <c r="T15" i="53"/>
  <c r="N15" i="53"/>
  <c r="J15" i="53"/>
  <c r="E15" i="53"/>
  <c r="W82" i="58"/>
  <c r="V82" i="58"/>
  <c r="AA82" i="58" s="1"/>
  <c r="S82" i="58"/>
  <c r="T82" i="58" s="1"/>
  <c r="N82" i="58"/>
  <c r="O82" i="58" s="1"/>
  <c r="I82" i="58"/>
  <c r="J82" i="58" s="1"/>
  <c r="D82" i="58"/>
  <c r="E82" i="58" s="1"/>
  <c r="AC81" i="58"/>
  <c r="Y81" i="58"/>
  <c r="T81" i="58"/>
  <c r="O81" i="58"/>
  <c r="K81" i="58"/>
  <c r="J81" i="58"/>
  <c r="E81" i="58"/>
  <c r="S80" i="58"/>
  <c r="N80" i="58"/>
  <c r="I80" i="58"/>
  <c r="D80" i="58"/>
  <c r="Z79" i="58"/>
  <c r="Z81" i="58" s="1"/>
  <c r="U79" i="58"/>
  <c r="U81" i="58" s="1"/>
  <c r="P79" i="58"/>
  <c r="P81" i="58" s="1"/>
  <c r="K79" i="58"/>
  <c r="F79" i="58"/>
  <c r="F81" i="58" s="1"/>
  <c r="AA76" i="58"/>
  <c r="R76" i="58"/>
  <c r="Q76" i="58"/>
  <c r="M76" i="58"/>
  <c r="L76" i="58"/>
  <c r="H76" i="58"/>
  <c r="G76" i="58"/>
  <c r="C76" i="58"/>
  <c r="C78" i="58" s="1"/>
  <c r="B76" i="58"/>
  <c r="B78" i="58" s="1"/>
  <c r="T75" i="58"/>
  <c r="O75" i="58"/>
  <c r="J75" i="58"/>
  <c r="E75" i="58"/>
  <c r="AB74" i="58"/>
  <c r="AC74" i="58" s="1"/>
  <c r="T74" i="58"/>
  <c r="O74" i="58"/>
  <c r="J74" i="58"/>
  <c r="E74" i="58"/>
  <c r="AB73" i="58"/>
  <c r="AC73" i="58" s="1"/>
  <c r="J73" i="58"/>
  <c r="E73" i="58"/>
  <c r="T72" i="58"/>
  <c r="O72" i="58"/>
  <c r="J72" i="58"/>
  <c r="E72" i="58"/>
  <c r="T71" i="58"/>
  <c r="O71" i="58"/>
  <c r="J71" i="58"/>
  <c r="E71" i="58"/>
  <c r="AB70" i="58"/>
  <c r="AC70" i="58" s="1"/>
  <c r="T70" i="58"/>
  <c r="O70" i="58"/>
  <c r="J70" i="58"/>
  <c r="E70" i="58"/>
  <c r="AB69" i="58"/>
  <c r="AC69" i="58" s="1"/>
  <c r="T69" i="58"/>
  <c r="O69" i="58"/>
  <c r="J69" i="58"/>
  <c r="E69" i="58"/>
  <c r="T68" i="58"/>
  <c r="O68" i="58"/>
  <c r="J68" i="58"/>
  <c r="E68" i="58"/>
  <c r="AB67" i="58"/>
  <c r="AC67" i="58" s="1"/>
  <c r="T67" i="58"/>
  <c r="O67" i="58"/>
  <c r="J67" i="58"/>
  <c r="E67" i="58"/>
  <c r="AB66" i="58"/>
  <c r="AC66" i="58" s="1"/>
  <c r="T66" i="58"/>
  <c r="O66" i="58"/>
  <c r="J66" i="58"/>
  <c r="E66" i="58"/>
  <c r="AB65" i="58"/>
  <c r="AC65" i="58" s="1"/>
  <c r="T65" i="58"/>
  <c r="O65" i="58"/>
  <c r="J65" i="58"/>
  <c r="E65" i="58"/>
  <c r="AB64" i="58"/>
  <c r="AC64" i="58" s="1"/>
  <c r="T64" i="58"/>
  <c r="O64" i="58"/>
  <c r="J64" i="58"/>
  <c r="E64" i="58"/>
  <c r="AB63" i="58"/>
  <c r="AC63" i="58" s="1"/>
  <c r="T63" i="58"/>
  <c r="O63" i="58"/>
  <c r="J63" i="58"/>
  <c r="E63" i="58"/>
  <c r="T62" i="58"/>
  <c r="O62" i="58"/>
  <c r="J62" i="58"/>
  <c r="E62" i="58"/>
  <c r="T61" i="58"/>
  <c r="O61" i="58"/>
  <c r="J61" i="58"/>
  <c r="E61" i="58"/>
  <c r="AB60" i="58"/>
  <c r="AC60" i="58" s="1"/>
  <c r="T60" i="58"/>
  <c r="O60" i="58"/>
  <c r="J60" i="58"/>
  <c r="E60" i="58"/>
  <c r="AB59" i="58"/>
  <c r="AC59" i="58" s="1"/>
  <c r="T59" i="58"/>
  <c r="O59" i="58"/>
  <c r="J59" i="58"/>
  <c r="E59" i="58"/>
  <c r="AB58" i="58"/>
  <c r="AC58" i="58" s="1"/>
  <c r="T58" i="58"/>
  <c r="O58" i="58"/>
  <c r="J58" i="58"/>
  <c r="E58" i="58"/>
  <c r="T57" i="58"/>
  <c r="O57" i="58"/>
  <c r="J57" i="58"/>
  <c r="E57" i="58"/>
  <c r="AB56" i="58"/>
  <c r="AC56" i="58" s="1"/>
  <c r="T56" i="58"/>
  <c r="O56" i="58"/>
  <c r="J56" i="58"/>
  <c r="E56" i="58"/>
  <c r="AC55" i="58"/>
  <c r="Y55" i="58"/>
  <c r="T55" i="58"/>
  <c r="O55" i="58"/>
  <c r="J55" i="58"/>
  <c r="E55" i="58"/>
  <c r="Y54" i="58"/>
  <c r="T54" i="58"/>
  <c r="O54" i="58"/>
  <c r="E54" i="58"/>
  <c r="T53" i="58"/>
  <c r="O53" i="58"/>
  <c r="J53" i="58"/>
  <c r="E53" i="58"/>
  <c r="AB52" i="58"/>
  <c r="AC52" i="58" s="1"/>
  <c r="T52" i="58"/>
  <c r="O52" i="58"/>
  <c r="J52" i="58"/>
  <c r="E52" i="58"/>
  <c r="Y51" i="58"/>
  <c r="T51" i="58"/>
  <c r="AB50" i="58"/>
  <c r="AC50" i="58" s="1"/>
  <c r="T50" i="58"/>
  <c r="O50" i="58"/>
  <c r="J50" i="58"/>
  <c r="E50" i="58"/>
  <c r="AB49" i="58"/>
  <c r="AC49" i="58" s="1"/>
  <c r="T49" i="58"/>
  <c r="O49" i="58"/>
  <c r="J49" i="58"/>
  <c r="E49" i="58"/>
  <c r="AB48" i="58"/>
  <c r="AC48" i="58" s="1"/>
  <c r="T48" i="58"/>
  <c r="O48" i="58"/>
  <c r="J48" i="58"/>
  <c r="E48" i="58"/>
  <c r="AB47" i="58"/>
  <c r="AC47" i="58" s="1"/>
  <c r="T47" i="58"/>
  <c r="O47" i="58"/>
  <c r="J47" i="58"/>
  <c r="E47" i="58"/>
  <c r="AB46" i="58"/>
  <c r="AC46" i="58" s="1"/>
  <c r="T46" i="58"/>
  <c r="O46" i="58"/>
  <c r="J46" i="58"/>
  <c r="E46" i="58"/>
  <c r="AB45" i="58"/>
  <c r="AC45" i="58" s="1"/>
  <c r="T45" i="58"/>
  <c r="O45" i="58"/>
  <c r="J45" i="58"/>
  <c r="E45" i="58"/>
  <c r="AB44" i="58"/>
  <c r="T44" i="58"/>
  <c r="O44" i="58"/>
  <c r="AA41" i="58"/>
  <c r="AA78" i="58" s="1"/>
  <c r="S41" i="58"/>
  <c r="R41" i="58"/>
  <c r="Q41" i="58"/>
  <c r="M41" i="58"/>
  <c r="L41" i="58"/>
  <c r="H41" i="58"/>
  <c r="G41" i="58"/>
  <c r="AB40" i="58"/>
  <c r="AC40" i="58" s="1"/>
  <c r="T40" i="58"/>
  <c r="O40" i="58"/>
  <c r="J40" i="58"/>
  <c r="AB39" i="58"/>
  <c r="AC39" i="58" s="1"/>
  <c r="Y39" i="58"/>
  <c r="T39" i="58"/>
  <c r="O39" i="58"/>
  <c r="J39" i="58"/>
  <c r="T38" i="58"/>
  <c r="O38" i="58"/>
  <c r="J38" i="58"/>
  <c r="AB37" i="58"/>
  <c r="AC37" i="58" s="1"/>
  <c r="T37" i="58"/>
  <c r="O37" i="58"/>
  <c r="J37" i="58"/>
  <c r="AB36" i="58"/>
  <c r="AC36" i="58" s="1"/>
  <c r="T36" i="58"/>
  <c r="O36" i="58"/>
  <c r="J36" i="58"/>
  <c r="Y35" i="58"/>
  <c r="T35" i="58"/>
  <c r="O35" i="58"/>
  <c r="J35" i="58"/>
  <c r="AB34" i="58"/>
  <c r="AC34" i="58" s="1"/>
  <c r="Y34" i="58"/>
  <c r="T34" i="58"/>
  <c r="O34" i="58"/>
  <c r="J34" i="58"/>
  <c r="AB33" i="58"/>
  <c r="T33" i="58"/>
  <c r="N41" i="58"/>
  <c r="J33" i="58"/>
  <c r="T28" i="58"/>
  <c r="W27" i="58"/>
  <c r="V27" i="58"/>
  <c r="S27" i="58"/>
  <c r="T27" i="58" s="1"/>
  <c r="N27" i="58"/>
  <c r="O27" i="58" s="1"/>
  <c r="I27" i="58"/>
  <c r="J27" i="58" s="1"/>
  <c r="D27" i="58"/>
  <c r="E27" i="58" s="1"/>
  <c r="T26" i="58"/>
  <c r="AA25" i="58"/>
  <c r="AA29" i="58" s="1"/>
  <c r="R25" i="58"/>
  <c r="R29" i="58" s="1"/>
  <c r="Q25" i="58"/>
  <c r="Q29" i="58" s="1"/>
  <c r="M25" i="58"/>
  <c r="L25" i="58"/>
  <c r="L29" i="58" s="1"/>
  <c r="H25" i="58"/>
  <c r="H29" i="58" s="1"/>
  <c r="G25" i="58"/>
  <c r="G29" i="58" s="1"/>
  <c r="C29" i="58"/>
  <c r="B29" i="58"/>
  <c r="AB24" i="58"/>
  <c r="AC24" i="58" s="1"/>
  <c r="X24" i="58"/>
  <c r="Y24" i="58" s="1"/>
  <c r="S24" i="58"/>
  <c r="T24" i="58" s="1"/>
  <c r="N24" i="58"/>
  <c r="O24" i="58" s="1"/>
  <c r="I24" i="58"/>
  <c r="J24" i="58" s="1"/>
  <c r="D24" i="58"/>
  <c r="E24" i="58" s="1"/>
  <c r="AB23" i="58"/>
  <c r="AC23" i="58" s="1"/>
  <c r="X23" i="58"/>
  <c r="Y23" i="58" s="1"/>
  <c r="S23" i="58"/>
  <c r="T23" i="58" s="1"/>
  <c r="N23" i="58"/>
  <c r="O23" i="58" s="1"/>
  <c r="I23" i="58"/>
  <c r="J23" i="58" s="1"/>
  <c r="D23" i="58"/>
  <c r="E23" i="58" s="1"/>
  <c r="AB22" i="58"/>
  <c r="AC22" i="58" s="1"/>
  <c r="X22" i="58"/>
  <c r="Y22" i="58" s="1"/>
  <c r="S22" i="58"/>
  <c r="T22" i="58" s="1"/>
  <c r="N22" i="58"/>
  <c r="O22" i="58" s="1"/>
  <c r="J22" i="58"/>
  <c r="E22" i="58"/>
  <c r="AB21" i="58"/>
  <c r="AC21" i="58" s="1"/>
  <c r="X21" i="58"/>
  <c r="Y21" i="58" s="1"/>
  <c r="T21" i="58"/>
  <c r="O21" i="58"/>
  <c r="J21" i="58"/>
  <c r="E21" i="58"/>
  <c r="AB20" i="58"/>
  <c r="AC20" i="58" s="1"/>
  <c r="Y20" i="58"/>
  <c r="T20" i="58"/>
  <c r="O20" i="58"/>
  <c r="J20" i="58"/>
  <c r="E20" i="58"/>
  <c r="AB18" i="58"/>
  <c r="AC18" i="58" s="1"/>
  <c r="X18" i="58"/>
  <c r="Y18" i="58" s="1"/>
  <c r="T18" i="58"/>
  <c r="O18" i="58"/>
  <c r="J18" i="58"/>
  <c r="E18" i="58"/>
  <c r="AB17" i="58"/>
  <c r="AC17" i="58" s="1"/>
  <c r="X17" i="58"/>
  <c r="Y17" i="58" s="1"/>
  <c r="S17" i="58"/>
  <c r="T17" i="58" s="1"/>
  <c r="O17" i="58"/>
  <c r="I17" i="58"/>
  <c r="J17" i="58" s="1"/>
  <c r="E17" i="58"/>
  <c r="S16" i="58"/>
  <c r="T16" i="58" s="1"/>
  <c r="N16" i="58"/>
  <c r="O16" i="58" s="1"/>
  <c r="I16" i="58"/>
  <c r="J16" i="58" s="1"/>
  <c r="E16" i="58"/>
  <c r="S15" i="58"/>
  <c r="T15" i="58" s="1"/>
  <c r="N15" i="58"/>
  <c r="O15" i="58" s="1"/>
  <c r="I15" i="58"/>
  <c r="D15" i="58"/>
  <c r="AC14" i="58"/>
  <c r="X14" i="58"/>
  <c r="Y14" i="58" s="1"/>
  <c r="S14" i="58"/>
  <c r="T14" i="58" s="1"/>
  <c r="N14" i="58"/>
  <c r="O14" i="58" s="1"/>
  <c r="I14" i="58"/>
  <c r="J14" i="58" s="1"/>
  <c r="D14" i="58"/>
  <c r="E14" i="58" s="1"/>
  <c r="E63" i="57"/>
  <c r="E72" i="57" s="1"/>
  <c r="D63" i="57"/>
  <c r="C63" i="57"/>
  <c r="C72" i="57" s="1"/>
  <c r="E39" i="57"/>
  <c r="E43" i="57" s="1"/>
  <c r="D39" i="57"/>
  <c r="D43" i="57" s="1"/>
  <c r="W82" i="59"/>
  <c r="V82" i="59"/>
  <c r="AA82" i="59" s="1"/>
  <c r="S82" i="59"/>
  <c r="T82" i="59" s="1"/>
  <c r="N82" i="59"/>
  <c r="O82" i="59" s="1"/>
  <c r="I82" i="59"/>
  <c r="J82" i="59" s="1"/>
  <c r="D82" i="59"/>
  <c r="E82" i="59" s="1"/>
  <c r="AC81" i="59"/>
  <c r="Y81" i="59"/>
  <c r="T81" i="59"/>
  <c r="O81" i="59"/>
  <c r="J81" i="59"/>
  <c r="E81" i="59"/>
  <c r="S80" i="59"/>
  <c r="N80" i="59"/>
  <c r="I80" i="59"/>
  <c r="D80" i="59"/>
  <c r="Z79" i="59"/>
  <c r="Z81" i="59" s="1"/>
  <c r="U79" i="59"/>
  <c r="U81" i="59" s="1"/>
  <c r="P79" i="59"/>
  <c r="P81" i="59" s="1"/>
  <c r="K79" i="59"/>
  <c r="K81" i="59" s="1"/>
  <c r="F79" i="59"/>
  <c r="F81" i="59" s="1"/>
  <c r="R76" i="59"/>
  <c r="Q76" i="59"/>
  <c r="M76" i="59"/>
  <c r="L76" i="59"/>
  <c r="H76" i="59"/>
  <c r="G76" i="59"/>
  <c r="C76" i="59"/>
  <c r="B76" i="59"/>
  <c r="AB75" i="59"/>
  <c r="AC75" i="59" s="1"/>
  <c r="O75" i="59"/>
  <c r="J75" i="59"/>
  <c r="E75" i="59"/>
  <c r="T74" i="59"/>
  <c r="O74" i="59"/>
  <c r="J74" i="59"/>
  <c r="E74" i="59"/>
  <c r="T73" i="59"/>
  <c r="O73" i="59"/>
  <c r="J73" i="59"/>
  <c r="E73" i="59"/>
  <c r="J72" i="59"/>
  <c r="E72" i="59"/>
  <c r="T71" i="59"/>
  <c r="O71" i="59"/>
  <c r="J71" i="59"/>
  <c r="E71" i="59"/>
  <c r="T70" i="59"/>
  <c r="O70" i="59"/>
  <c r="J70" i="59"/>
  <c r="E70" i="59"/>
  <c r="Y69" i="59"/>
  <c r="T69" i="59"/>
  <c r="O69" i="59"/>
  <c r="J69" i="59"/>
  <c r="E69" i="59"/>
  <c r="T68" i="59"/>
  <c r="O68" i="59"/>
  <c r="J68" i="59"/>
  <c r="E68" i="59"/>
  <c r="AB67" i="59"/>
  <c r="AC67" i="59" s="1"/>
  <c r="T67" i="59"/>
  <c r="O67" i="59"/>
  <c r="J67" i="59"/>
  <c r="E67" i="59"/>
  <c r="AB66" i="59"/>
  <c r="AC66" i="59" s="1"/>
  <c r="T66" i="59"/>
  <c r="O66" i="59"/>
  <c r="J66" i="59"/>
  <c r="E66" i="59"/>
  <c r="T65" i="59"/>
  <c r="O65" i="59"/>
  <c r="J65" i="59"/>
  <c r="E65" i="59"/>
  <c r="T64" i="59"/>
  <c r="O64" i="59"/>
  <c r="J64" i="59"/>
  <c r="E64" i="59"/>
  <c r="T63" i="59"/>
  <c r="O63" i="59"/>
  <c r="J63" i="59"/>
  <c r="E63" i="59"/>
  <c r="T62" i="59"/>
  <c r="O62" i="59"/>
  <c r="J62" i="59"/>
  <c r="E62" i="59"/>
  <c r="AB61" i="59"/>
  <c r="AC61" i="59" s="1"/>
  <c r="T61" i="59"/>
  <c r="O61" i="59"/>
  <c r="J61" i="59"/>
  <c r="E61" i="59"/>
  <c r="AB60" i="59"/>
  <c r="AC60" i="59" s="1"/>
  <c r="T60" i="59"/>
  <c r="O60" i="59"/>
  <c r="J60" i="59"/>
  <c r="E60" i="59"/>
  <c r="AB59" i="59"/>
  <c r="AC59" i="59" s="1"/>
  <c r="Y59" i="59"/>
  <c r="T59" i="59"/>
  <c r="O59" i="59"/>
  <c r="J59" i="59"/>
  <c r="E59" i="59"/>
  <c r="AB58" i="59"/>
  <c r="AC58" i="59" s="1"/>
  <c r="T58" i="59"/>
  <c r="O58" i="59"/>
  <c r="J58" i="59"/>
  <c r="E58" i="59"/>
  <c r="T57" i="59"/>
  <c r="O57" i="59"/>
  <c r="J57" i="59"/>
  <c r="E57" i="59"/>
  <c r="T56" i="59"/>
  <c r="O56" i="59"/>
  <c r="J56" i="59"/>
  <c r="E56" i="59"/>
  <c r="AB55" i="59"/>
  <c r="AC55" i="59" s="1"/>
  <c r="T55" i="59"/>
  <c r="O55" i="59"/>
  <c r="J55" i="59"/>
  <c r="E55" i="59"/>
  <c r="AC54" i="59"/>
  <c r="Y54" i="59"/>
  <c r="T54" i="59"/>
  <c r="O54" i="59"/>
  <c r="J54" i="59"/>
  <c r="E54" i="59"/>
  <c r="T53" i="59"/>
  <c r="O53" i="59"/>
  <c r="J53" i="59"/>
  <c r="E53" i="59"/>
  <c r="T52" i="59"/>
  <c r="O52" i="59"/>
  <c r="J52" i="59"/>
  <c r="E52" i="59"/>
  <c r="E51" i="59"/>
  <c r="AB50" i="59"/>
  <c r="AC50" i="59" s="1"/>
  <c r="T50" i="59"/>
  <c r="O50" i="59"/>
  <c r="J50" i="59"/>
  <c r="E50" i="59"/>
  <c r="AB49" i="59"/>
  <c r="AC49" i="59" s="1"/>
  <c r="T49" i="59"/>
  <c r="O49" i="59"/>
  <c r="J49" i="59"/>
  <c r="E49" i="59"/>
  <c r="T48" i="59"/>
  <c r="O48" i="59"/>
  <c r="J48" i="59"/>
  <c r="E48" i="59"/>
  <c r="T47" i="59"/>
  <c r="O47" i="59"/>
  <c r="J47" i="59"/>
  <c r="E47" i="59"/>
  <c r="T46" i="59"/>
  <c r="O46" i="59"/>
  <c r="E46" i="59"/>
  <c r="AB45" i="59"/>
  <c r="AC45" i="59" s="1"/>
  <c r="T45" i="59"/>
  <c r="O45" i="59"/>
  <c r="J45" i="59"/>
  <c r="AB44" i="59"/>
  <c r="T44" i="59"/>
  <c r="S76" i="59"/>
  <c r="J44" i="59"/>
  <c r="E44" i="59"/>
  <c r="R41" i="59"/>
  <c r="Q41" i="59"/>
  <c r="M41" i="59"/>
  <c r="L41" i="59"/>
  <c r="H41" i="59"/>
  <c r="G41" i="59"/>
  <c r="C41" i="59"/>
  <c r="B41" i="59"/>
  <c r="W40" i="59"/>
  <c r="V40" i="59"/>
  <c r="T40" i="59"/>
  <c r="O40" i="59"/>
  <c r="J40" i="59"/>
  <c r="E40" i="59"/>
  <c r="W39" i="59"/>
  <c r="V39" i="59"/>
  <c r="T39" i="59"/>
  <c r="O39" i="59"/>
  <c r="J39" i="59"/>
  <c r="E39" i="59"/>
  <c r="W38" i="59"/>
  <c r="V38" i="59"/>
  <c r="T38" i="59"/>
  <c r="O38" i="59"/>
  <c r="J38" i="59"/>
  <c r="E38" i="59"/>
  <c r="W37" i="59"/>
  <c r="V37" i="59"/>
  <c r="T37" i="59"/>
  <c r="O37" i="59"/>
  <c r="J37" i="59"/>
  <c r="E37" i="59"/>
  <c r="W36" i="59"/>
  <c r="AB36" i="59" s="1"/>
  <c r="AC36" i="59" s="1"/>
  <c r="V36" i="59"/>
  <c r="T36" i="59"/>
  <c r="O36" i="59"/>
  <c r="J36" i="59"/>
  <c r="E36" i="59"/>
  <c r="W35" i="59"/>
  <c r="V35" i="59"/>
  <c r="T35" i="59"/>
  <c r="O35" i="59"/>
  <c r="J35" i="59"/>
  <c r="E35" i="59"/>
  <c r="V34" i="59"/>
  <c r="X34" i="59" s="1"/>
  <c r="T34" i="59"/>
  <c r="O34" i="59"/>
  <c r="J34" i="59"/>
  <c r="E34" i="59"/>
  <c r="AB33" i="59"/>
  <c r="N41" i="59"/>
  <c r="I41" i="59"/>
  <c r="D41" i="59"/>
  <c r="T28" i="59"/>
  <c r="V27" i="59"/>
  <c r="X27" i="59" s="1"/>
  <c r="S27" i="59"/>
  <c r="T27" i="59" s="1"/>
  <c r="N27" i="59"/>
  <c r="O27" i="59" s="1"/>
  <c r="I27" i="59"/>
  <c r="J27" i="59" s="1"/>
  <c r="E27" i="59"/>
  <c r="D27" i="59"/>
  <c r="T26" i="59"/>
  <c r="M25" i="59"/>
  <c r="M29" i="59" s="1"/>
  <c r="L25" i="59"/>
  <c r="T23" i="59"/>
  <c r="O23" i="59"/>
  <c r="I23" i="59"/>
  <c r="J23" i="59" s="1"/>
  <c r="D23" i="59"/>
  <c r="E23" i="59" s="1"/>
  <c r="AB22" i="59"/>
  <c r="AC22" i="59" s="1"/>
  <c r="T22" i="59"/>
  <c r="N22" i="59"/>
  <c r="O22" i="59" s="1"/>
  <c r="I22" i="59"/>
  <c r="J22" i="59" s="1"/>
  <c r="D22" i="59"/>
  <c r="E22" i="59" s="1"/>
  <c r="T21" i="59"/>
  <c r="N21" i="59"/>
  <c r="O21" i="59" s="1"/>
  <c r="I21" i="59"/>
  <c r="J21" i="59" s="1"/>
  <c r="D21" i="59"/>
  <c r="E21" i="59" s="1"/>
  <c r="T20" i="59"/>
  <c r="N20" i="59"/>
  <c r="O20" i="59" s="1"/>
  <c r="I20" i="59"/>
  <c r="J20" i="59" s="1"/>
  <c r="D20" i="59"/>
  <c r="E20" i="59" s="1"/>
  <c r="T19" i="59"/>
  <c r="N19" i="59"/>
  <c r="O19" i="59" s="1"/>
  <c r="I19" i="59"/>
  <c r="J19" i="59" s="1"/>
  <c r="D19" i="59"/>
  <c r="E19" i="59" s="1"/>
  <c r="AB18" i="59"/>
  <c r="AC18" i="59" s="1"/>
  <c r="T18" i="59"/>
  <c r="N18" i="59"/>
  <c r="O18" i="59" s="1"/>
  <c r="I18" i="59"/>
  <c r="J18" i="59" s="1"/>
  <c r="D18" i="59"/>
  <c r="E18" i="59" s="1"/>
  <c r="T17" i="59"/>
  <c r="N17" i="59"/>
  <c r="O17" i="59" s="1"/>
  <c r="I17" i="59"/>
  <c r="J17" i="59" s="1"/>
  <c r="D17" i="59"/>
  <c r="E17" i="59" s="1"/>
  <c r="T16" i="59"/>
  <c r="N16" i="59"/>
  <c r="O16" i="59" s="1"/>
  <c r="I16" i="59"/>
  <c r="J16" i="59" s="1"/>
  <c r="D16" i="59"/>
  <c r="E16" i="59" s="1"/>
  <c r="N15" i="59"/>
  <c r="O15" i="59" s="1"/>
  <c r="I15" i="59"/>
  <c r="D15" i="59"/>
  <c r="E15" i="59" s="1"/>
  <c r="AB14" i="59"/>
  <c r="N14" i="59"/>
  <c r="O14" i="59" s="1"/>
  <c r="D14" i="59"/>
  <c r="F70" i="60"/>
  <c r="E70" i="60"/>
  <c r="D70" i="60"/>
  <c r="C70" i="60"/>
  <c r="B70" i="60"/>
  <c r="F63" i="60"/>
  <c r="E63" i="60"/>
  <c r="D63" i="60"/>
  <c r="C63" i="60"/>
  <c r="F57" i="60"/>
  <c r="E57" i="60"/>
  <c r="D57" i="60"/>
  <c r="C57" i="60"/>
  <c r="E39" i="60"/>
  <c r="D39" i="60"/>
  <c r="F20" i="60"/>
  <c r="E20" i="60"/>
  <c r="D20" i="60"/>
  <c r="D43" i="60" s="1"/>
  <c r="C20" i="60"/>
  <c r="C43" i="60" s="1"/>
  <c r="B20" i="60"/>
  <c r="B43" i="60" s="1"/>
  <c r="W82" i="48"/>
  <c r="V82" i="48"/>
  <c r="X82" i="48" s="1"/>
  <c r="Y82" i="48" s="1"/>
  <c r="S82" i="48"/>
  <c r="T82" i="48" s="1"/>
  <c r="N82" i="48"/>
  <c r="O82" i="48" s="1"/>
  <c r="I82" i="48"/>
  <c r="J82" i="48" s="1"/>
  <c r="D82" i="48"/>
  <c r="E82" i="48" s="1"/>
  <c r="AC81" i="48"/>
  <c r="Y81" i="48"/>
  <c r="T81" i="48"/>
  <c r="O81" i="48"/>
  <c r="J81" i="48"/>
  <c r="E81" i="48"/>
  <c r="S80" i="48"/>
  <c r="N80" i="48"/>
  <c r="I80" i="48"/>
  <c r="D80" i="48"/>
  <c r="Z79" i="48"/>
  <c r="Z81" i="48" s="1"/>
  <c r="U79" i="48"/>
  <c r="U81" i="48" s="1"/>
  <c r="P79" i="48"/>
  <c r="P81" i="48" s="1"/>
  <c r="K79" i="48"/>
  <c r="K81" i="48" s="1"/>
  <c r="F79" i="48"/>
  <c r="F81" i="48" s="1"/>
  <c r="AA76" i="48"/>
  <c r="R76" i="48"/>
  <c r="Q76" i="48"/>
  <c r="M76" i="48"/>
  <c r="L76" i="48"/>
  <c r="H76" i="48"/>
  <c r="G76" i="48"/>
  <c r="C76" i="48"/>
  <c r="B76" i="48"/>
  <c r="T75" i="48"/>
  <c r="O75" i="48"/>
  <c r="J75" i="48"/>
  <c r="E75" i="48"/>
  <c r="Y74" i="48"/>
  <c r="T74" i="48"/>
  <c r="O74" i="48"/>
  <c r="J74" i="48"/>
  <c r="E74" i="48"/>
  <c r="Y73" i="48"/>
  <c r="J73" i="48"/>
  <c r="E73" i="48"/>
  <c r="T72" i="48"/>
  <c r="O72" i="48"/>
  <c r="J72" i="48"/>
  <c r="E72" i="48"/>
  <c r="T71" i="48"/>
  <c r="O71" i="48"/>
  <c r="J71" i="48"/>
  <c r="E71" i="48"/>
  <c r="T70" i="48"/>
  <c r="O70" i="48"/>
  <c r="J70" i="48"/>
  <c r="E70" i="48"/>
  <c r="T69" i="48"/>
  <c r="O69" i="48"/>
  <c r="J69" i="48"/>
  <c r="E69" i="48"/>
  <c r="Y68" i="48"/>
  <c r="T68" i="48"/>
  <c r="O68" i="48"/>
  <c r="J68" i="48"/>
  <c r="E68" i="48"/>
  <c r="Y67" i="48"/>
  <c r="T67" i="48"/>
  <c r="O67" i="48"/>
  <c r="J67" i="48"/>
  <c r="E67" i="48"/>
  <c r="Y66" i="48"/>
  <c r="T66" i="48"/>
  <c r="O66" i="48"/>
  <c r="J66" i="48"/>
  <c r="E66" i="48"/>
  <c r="Y65" i="48"/>
  <c r="T65" i="48"/>
  <c r="O65" i="48"/>
  <c r="J65" i="48"/>
  <c r="E65" i="48"/>
  <c r="T64" i="48"/>
  <c r="O64" i="48"/>
  <c r="J64" i="48"/>
  <c r="E64" i="48"/>
  <c r="T63" i="48"/>
  <c r="O63" i="48"/>
  <c r="J63" i="48"/>
  <c r="E63" i="48"/>
  <c r="T62" i="48"/>
  <c r="O62" i="48"/>
  <c r="J62" i="48"/>
  <c r="E62" i="48"/>
  <c r="T61" i="48"/>
  <c r="O61" i="48"/>
  <c r="J61" i="48"/>
  <c r="E61" i="48"/>
  <c r="T60" i="48"/>
  <c r="O60" i="48"/>
  <c r="J60" i="48"/>
  <c r="E60" i="48"/>
  <c r="Y59" i="48"/>
  <c r="T59" i="48"/>
  <c r="O59" i="48"/>
  <c r="J59" i="48"/>
  <c r="E59" i="48"/>
  <c r="Y58" i="48"/>
  <c r="T58" i="48"/>
  <c r="O58" i="48"/>
  <c r="J58" i="48"/>
  <c r="E58" i="48"/>
  <c r="Y57" i="48"/>
  <c r="T57" i="48"/>
  <c r="O57" i="48"/>
  <c r="J57" i="48"/>
  <c r="E57" i="48"/>
  <c r="Y56" i="48"/>
  <c r="T56" i="48"/>
  <c r="O56" i="48"/>
  <c r="J56" i="48"/>
  <c r="E56" i="48"/>
  <c r="T55" i="48"/>
  <c r="O55" i="48"/>
  <c r="J55" i="48"/>
  <c r="E55" i="48"/>
  <c r="T53" i="48"/>
  <c r="O53" i="48"/>
  <c r="J53" i="48"/>
  <c r="E53" i="48"/>
  <c r="Y52" i="48"/>
  <c r="T52" i="48"/>
  <c r="O52" i="48"/>
  <c r="J52" i="48"/>
  <c r="E52" i="48"/>
  <c r="T51" i="48"/>
  <c r="O51" i="48"/>
  <c r="T50" i="48"/>
  <c r="O50" i="48"/>
  <c r="J50" i="48"/>
  <c r="E50" i="48"/>
  <c r="T49" i="48"/>
  <c r="O49" i="48"/>
  <c r="J49" i="48"/>
  <c r="E49" i="48"/>
  <c r="T48" i="48"/>
  <c r="O48" i="48"/>
  <c r="J48" i="48"/>
  <c r="E48" i="48"/>
  <c r="T47" i="48"/>
  <c r="O47" i="48"/>
  <c r="J47" i="48"/>
  <c r="E47" i="48"/>
  <c r="T46" i="48"/>
  <c r="O46" i="48"/>
  <c r="J46" i="48"/>
  <c r="E46" i="48"/>
  <c r="T45" i="48"/>
  <c r="O45" i="48"/>
  <c r="J45" i="48"/>
  <c r="E45" i="48"/>
  <c r="W44" i="48"/>
  <c r="V44" i="48"/>
  <c r="O44" i="48"/>
  <c r="J44" i="48"/>
  <c r="E44" i="48"/>
  <c r="AA41" i="48"/>
  <c r="R41" i="48"/>
  <c r="Q41" i="48"/>
  <c r="M41" i="48"/>
  <c r="L41" i="48"/>
  <c r="H41" i="48"/>
  <c r="G41" i="48"/>
  <c r="C41" i="48"/>
  <c r="B41" i="48"/>
  <c r="W40" i="48"/>
  <c r="AB40" i="48" s="1"/>
  <c r="V40" i="48"/>
  <c r="T40" i="48"/>
  <c r="O40" i="48"/>
  <c r="J40" i="48"/>
  <c r="E40" i="48"/>
  <c r="W39" i="48"/>
  <c r="AB39" i="48" s="1"/>
  <c r="V39" i="48"/>
  <c r="T39" i="48"/>
  <c r="O39" i="48"/>
  <c r="J39" i="48"/>
  <c r="E39" i="48"/>
  <c r="W38" i="48"/>
  <c r="AB38" i="48" s="1"/>
  <c r="V38" i="48"/>
  <c r="T38" i="48"/>
  <c r="O38" i="48"/>
  <c r="J38" i="48"/>
  <c r="E38" i="48"/>
  <c r="W37" i="48"/>
  <c r="AB37" i="48" s="1"/>
  <c r="V37" i="48"/>
  <c r="T37" i="48"/>
  <c r="O37" i="48"/>
  <c r="J37" i="48"/>
  <c r="E37" i="48"/>
  <c r="W36" i="48"/>
  <c r="AB36" i="48" s="1"/>
  <c r="V36" i="48"/>
  <c r="T36" i="48"/>
  <c r="O36" i="48"/>
  <c r="E36" i="48"/>
  <c r="W35" i="48"/>
  <c r="AB35" i="48" s="1"/>
  <c r="V35" i="48"/>
  <c r="T35" i="48"/>
  <c r="O35" i="48"/>
  <c r="J35" i="48"/>
  <c r="E35" i="48"/>
  <c r="W34" i="48"/>
  <c r="AB34" i="48" s="1"/>
  <c r="V34" i="48"/>
  <c r="T34" i="48"/>
  <c r="O34" i="48"/>
  <c r="J34" i="48"/>
  <c r="E34" i="48"/>
  <c r="W33" i="48"/>
  <c r="AB33" i="48" s="1"/>
  <c r="V33" i="48"/>
  <c r="T33" i="48"/>
  <c r="J33" i="48"/>
  <c r="E33" i="48"/>
  <c r="T28" i="48"/>
  <c r="W27" i="48"/>
  <c r="V27" i="48"/>
  <c r="S27" i="48"/>
  <c r="T27" i="48" s="1"/>
  <c r="N27" i="48"/>
  <c r="O27" i="48" s="1"/>
  <c r="I27" i="48"/>
  <c r="J27" i="48" s="1"/>
  <c r="D27" i="48"/>
  <c r="E27" i="48" s="1"/>
  <c r="T26" i="48"/>
  <c r="AA29" i="48"/>
  <c r="R25" i="48"/>
  <c r="Q25" i="48"/>
  <c r="M25" i="48"/>
  <c r="L25" i="48"/>
  <c r="H25" i="48"/>
  <c r="H29" i="48" s="1"/>
  <c r="G25" i="48"/>
  <c r="G29" i="48" s="1"/>
  <c r="C25" i="48"/>
  <c r="C29" i="48" s="1"/>
  <c r="B25" i="48"/>
  <c r="B29" i="48" s="1"/>
  <c r="I23" i="48"/>
  <c r="J23" i="48" s="1"/>
  <c r="D23" i="48"/>
  <c r="E23" i="48" s="1"/>
  <c r="I22" i="48"/>
  <c r="J22" i="48" s="1"/>
  <c r="D22" i="48"/>
  <c r="E22" i="48" s="1"/>
  <c r="I21" i="48"/>
  <c r="J21" i="48" s="1"/>
  <c r="D21" i="48"/>
  <c r="E21" i="48" s="1"/>
  <c r="I20" i="48"/>
  <c r="J20" i="48" s="1"/>
  <c r="D20" i="48"/>
  <c r="E20" i="48" s="1"/>
  <c r="W19" i="48"/>
  <c r="V19" i="48"/>
  <c r="I19" i="48"/>
  <c r="J19" i="48" s="1"/>
  <c r="D19" i="48"/>
  <c r="E19" i="48" s="1"/>
  <c r="I18" i="48"/>
  <c r="J18" i="48" s="1"/>
  <c r="D18" i="48"/>
  <c r="E18" i="48" s="1"/>
  <c r="I17" i="48"/>
  <c r="J17" i="48" s="1"/>
  <c r="D17" i="48"/>
  <c r="E17" i="48" s="1"/>
  <c r="I16" i="48"/>
  <c r="J16" i="48" s="1"/>
  <c r="D16" i="48"/>
  <c r="E16" i="48" s="1"/>
  <c r="O15" i="48"/>
  <c r="I15" i="48"/>
  <c r="J15" i="48" s="1"/>
  <c r="D15" i="48"/>
  <c r="E15" i="48" s="1"/>
  <c r="AB14" i="48"/>
  <c r="S14" i="48"/>
  <c r="T14" i="48" s="1"/>
  <c r="N14" i="48"/>
  <c r="I14" i="48"/>
  <c r="D14" i="48"/>
  <c r="E14" i="48" s="1"/>
  <c r="F70" i="47"/>
  <c r="E70" i="47"/>
  <c r="D70" i="47"/>
  <c r="C70" i="47"/>
  <c r="B70" i="47"/>
  <c r="F63" i="47"/>
  <c r="E63" i="47"/>
  <c r="D63" i="47"/>
  <c r="C63" i="47"/>
  <c r="B63" i="47"/>
  <c r="F57" i="47"/>
  <c r="G13" i="27" s="1"/>
  <c r="E57" i="47"/>
  <c r="D57" i="47"/>
  <c r="C57" i="47"/>
  <c r="B57" i="47"/>
  <c r="F39" i="47"/>
  <c r="E39" i="47"/>
  <c r="D39" i="47"/>
  <c r="C39" i="47"/>
  <c r="B39" i="47"/>
  <c r="F30" i="47"/>
  <c r="E30" i="47"/>
  <c r="D30" i="47"/>
  <c r="C30" i="47"/>
  <c r="B30" i="47"/>
  <c r="F20" i="47"/>
  <c r="G17" i="27" s="1"/>
  <c r="E20" i="47"/>
  <c r="D20" i="47"/>
  <c r="C20" i="47"/>
  <c r="B20" i="47"/>
  <c r="W82" i="52"/>
  <c r="V82" i="52"/>
  <c r="AA82" i="52" s="1"/>
  <c r="AB82" i="52" s="1"/>
  <c r="AC82" i="52" s="1"/>
  <c r="S82" i="52"/>
  <c r="T82" i="52" s="1"/>
  <c r="N82" i="52"/>
  <c r="O82" i="52" s="1"/>
  <c r="I82" i="52"/>
  <c r="J82" i="52" s="1"/>
  <c r="D82" i="52"/>
  <c r="E82" i="52" s="1"/>
  <c r="AC81" i="52"/>
  <c r="Y81" i="52"/>
  <c r="T81" i="52"/>
  <c r="O81" i="52"/>
  <c r="E81" i="52"/>
  <c r="S80" i="52"/>
  <c r="N80" i="52"/>
  <c r="I80" i="52"/>
  <c r="D80" i="52"/>
  <c r="Z79" i="52"/>
  <c r="Z81" i="52" s="1"/>
  <c r="U79" i="52"/>
  <c r="U81" i="52" s="1"/>
  <c r="P79" i="52"/>
  <c r="P81" i="52" s="1"/>
  <c r="K79" i="52"/>
  <c r="K81" i="52" s="1"/>
  <c r="F79" i="52"/>
  <c r="F81" i="52" s="1"/>
  <c r="T75" i="52"/>
  <c r="O75" i="52"/>
  <c r="J75" i="52"/>
  <c r="E75" i="52"/>
  <c r="T74" i="52"/>
  <c r="O74" i="52"/>
  <c r="J74" i="52"/>
  <c r="E74" i="52"/>
  <c r="J73" i="52"/>
  <c r="E73" i="52"/>
  <c r="T72" i="52"/>
  <c r="O72" i="52"/>
  <c r="J72" i="52"/>
  <c r="E72" i="52"/>
  <c r="T71" i="52"/>
  <c r="O71" i="52"/>
  <c r="J71" i="52"/>
  <c r="E71" i="52"/>
  <c r="T70" i="52"/>
  <c r="O70" i="52"/>
  <c r="J70" i="52"/>
  <c r="E70" i="52"/>
  <c r="T69" i="52"/>
  <c r="O69" i="52"/>
  <c r="J69" i="52"/>
  <c r="E69" i="52"/>
  <c r="X68" i="52"/>
  <c r="T68" i="52"/>
  <c r="O68" i="52"/>
  <c r="J68" i="52"/>
  <c r="E68" i="52"/>
  <c r="M67" i="46"/>
  <c r="H67" i="46"/>
  <c r="B67" i="46"/>
  <c r="X66" i="52"/>
  <c r="T66" i="52"/>
  <c r="O66" i="52"/>
  <c r="J66" i="52"/>
  <c r="E66" i="52"/>
  <c r="R65" i="46"/>
  <c r="M65" i="46"/>
  <c r="L65" i="46"/>
  <c r="J65" i="52"/>
  <c r="G65" i="46"/>
  <c r="X64" i="52"/>
  <c r="T64" i="52"/>
  <c r="O64" i="52"/>
  <c r="J64" i="52"/>
  <c r="E64" i="52"/>
  <c r="X63" i="52"/>
  <c r="T63" i="52"/>
  <c r="O63" i="52"/>
  <c r="J63" i="52"/>
  <c r="E63" i="52"/>
  <c r="T62" i="52"/>
  <c r="M62" i="46"/>
  <c r="H62" i="46"/>
  <c r="T61" i="52"/>
  <c r="O61" i="52"/>
  <c r="J61" i="52"/>
  <c r="E61" i="52"/>
  <c r="T60" i="52"/>
  <c r="O60" i="52"/>
  <c r="J60" i="52"/>
  <c r="E60" i="52"/>
  <c r="T59" i="52"/>
  <c r="O59" i="52"/>
  <c r="J59" i="52"/>
  <c r="E59" i="52"/>
  <c r="T58" i="52"/>
  <c r="O58" i="52"/>
  <c r="J58" i="52"/>
  <c r="E58" i="52"/>
  <c r="T57" i="52"/>
  <c r="T56" i="52"/>
  <c r="T55" i="52"/>
  <c r="O55" i="52"/>
  <c r="J55" i="52"/>
  <c r="E55" i="52"/>
  <c r="Y54" i="52"/>
  <c r="T54" i="52"/>
  <c r="O54" i="52"/>
  <c r="J54" i="52"/>
  <c r="E54" i="52"/>
  <c r="L53" i="46"/>
  <c r="Q52" i="46"/>
  <c r="L52" i="46"/>
  <c r="H52" i="46"/>
  <c r="Y51" i="52"/>
  <c r="R51" i="46"/>
  <c r="Q51" i="46"/>
  <c r="M51" i="46"/>
  <c r="L51" i="46"/>
  <c r="G51" i="46"/>
  <c r="B51" i="46"/>
  <c r="R50" i="46"/>
  <c r="M50" i="46"/>
  <c r="H50" i="46"/>
  <c r="T48" i="52"/>
  <c r="O48" i="52"/>
  <c r="J48" i="52"/>
  <c r="E48" i="52"/>
  <c r="B47" i="46"/>
  <c r="T46" i="52"/>
  <c r="O46" i="52"/>
  <c r="J46" i="52"/>
  <c r="E46" i="52"/>
  <c r="Q45" i="46"/>
  <c r="X45" i="52"/>
  <c r="R44" i="46"/>
  <c r="Q44" i="46"/>
  <c r="L44" i="46"/>
  <c r="H44" i="46"/>
  <c r="G44" i="46"/>
  <c r="C44" i="46"/>
  <c r="B44" i="46"/>
  <c r="AA41" i="52"/>
  <c r="AA78" i="52" s="1"/>
  <c r="C41" i="52"/>
  <c r="C78" i="52" s="1"/>
  <c r="B41" i="52"/>
  <c r="B78" i="52" s="1"/>
  <c r="W40" i="52"/>
  <c r="X40" i="52" s="1"/>
  <c r="T40" i="52"/>
  <c r="O40" i="52"/>
  <c r="J40" i="52"/>
  <c r="E40" i="52"/>
  <c r="W39" i="52"/>
  <c r="X39" i="52" s="1"/>
  <c r="T39" i="52"/>
  <c r="O39" i="52"/>
  <c r="J39" i="52"/>
  <c r="R38" i="46"/>
  <c r="M38" i="46"/>
  <c r="L38" i="46"/>
  <c r="W38" i="52"/>
  <c r="X38" i="52" s="1"/>
  <c r="E38" i="52"/>
  <c r="Q37" i="46"/>
  <c r="M37" i="46"/>
  <c r="L37" i="46"/>
  <c r="W37" i="52"/>
  <c r="X37" i="52" s="1"/>
  <c r="R36" i="46"/>
  <c r="Q36" i="46"/>
  <c r="M36" i="46"/>
  <c r="L36" i="46"/>
  <c r="W36" i="52"/>
  <c r="X36" i="52" s="1"/>
  <c r="L35" i="46"/>
  <c r="W35" i="52"/>
  <c r="X35" i="52" s="1"/>
  <c r="E35" i="52"/>
  <c r="W34" i="52"/>
  <c r="X34" i="52" s="1"/>
  <c r="O34" i="52"/>
  <c r="J34" i="52"/>
  <c r="R33" i="46"/>
  <c r="Q33" i="46"/>
  <c r="M33" i="46"/>
  <c r="L33" i="46"/>
  <c r="H33" i="46"/>
  <c r="T28" i="52"/>
  <c r="W27" i="52"/>
  <c r="V27" i="52"/>
  <c r="S27" i="52"/>
  <c r="T27" i="52" s="1"/>
  <c r="N27" i="52"/>
  <c r="O27" i="52" s="1"/>
  <c r="I27" i="52"/>
  <c r="J27" i="52" s="1"/>
  <c r="D27" i="52"/>
  <c r="E27" i="52" s="1"/>
  <c r="T26" i="52"/>
  <c r="AA25" i="52"/>
  <c r="R25" i="52"/>
  <c r="R29" i="52" s="1"/>
  <c r="Q25" i="52"/>
  <c r="Q29" i="52" s="1"/>
  <c r="M25" i="52"/>
  <c r="L25" i="52"/>
  <c r="H25" i="52"/>
  <c r="H29" i="52" s="1"/>
  <c r="G25" i="52"/>
  <c r="G29" i="52" s="1"/>
  <c r="C25" i="52"/>
  <c r="B25" i="52"/>
  <c r="AB24" i="52"/>
  <c r="AC24" i="52" s="1"/>
  <c r="S24" i="52"/>
  <c r="T24" i="52" s="1"/>
  <c r="N24" i="52"/>
  <c r="O24" i="52" s="1"/>
  <c r="I24" i="52"/>
  <c r="J24" i="52" s="1"/>
  <c r="D24" i="52"/>
  <c r="E24" i="52" s="1"/>
  <c r="AB23" i="52"/>
  <c r="AC23" i="52" s="1"/>
  <c r="S23" i="52"/>
  <c r="T23" i="52" s="1"/>
  <c r="N23" i="52"/>
  <c r="O23" i="52" s="1"/>
  <c r="I23" i="52"/>
  <c r="J23" i="52" s="1"/>
  <c r="D23" i="52"/>
  <c r="E23" i="52" s="1"/>
  <c r="AB22" i="52"/>
  <c r="AC22" i="52" s="1"/>
  <c r="S22" i="52"/>
  <c r="T22" i="52" s="1"/>
  <c r="N22" i="52"/>
  <c r="O22" i="52" s="1"/>
  <c r="I22" i="52"/>
  <c r="J22" i="52" s="1"/>
  <c r="D22" i="52"/>
  <c r="E22" i="52" s="1"/>
  <c r="AB21" i="52"/>
  <c r="AC21" i="52" s="1"/>
  <c r="S21" i="52"/>
  <c r="T21" i="52" s="1"/>
  <c r="N21" i="52"/>
  <c r="O21" i="52" s="1"/>
  <c r="I21" i="52"/>
  <c r="J21" i="52" s="1"/>
  <c r="D21" i="52"/>
  <c r="E21" i="52" s="1"/>
  <c r="AB20" i="52"/>
  <c r="AC20" i="52" s="1"/>
  <c r="S20" i="52"/>
  <c r="T20" i="52" s="1"/>
  <c r="N20" i="52"/>
  <c r="O20" i="52" s="1"/>
  <c r="I20" i="52"/>
  <c r="J20" i="52" s="1"/>
  <c r="D20" i="52"/>
  <c r="E20" i="52" s="1"/>
  <c r="AB18" i="52"/>
  <c r="AC18" i="52" s="1"/>
  <c r="S18" i="52"/>
  <c r="T18" i="52" s="1"/>
  <c r="N18" i="52"/>
  <c r="O18" i="52" s="1"/>
  <c r="I18" i="52"/>
  <c r="J18" i="52" s="1"/>
  <c r="E18" i="52"/>
  <c r="AB17" i="52"/>
  <c r="AC17" i="52" s="1"/>
  <c r="S17" i="52"/>
  <c r="T17" i="52" s="1"/>
  <c r="N17" i="52"/>
  <c r="O17" i="52" s="1"/>
  <c r="I17" i="52"/>
  <c r="J17" i="52" s="1"/>
  <c r="D17" i="52"/>
  <c r="E17" i="52" s="1"/>
  <c r="AB16" i="52"/>
  <c r="AC16" i="52" s="1"/>
  <c r="S16" i="52"/>
  <c r="T16" i="52" s="1"/>
  <c r="N16" i="52"/>
  <c r="O16" i="52" s="1"/>
  <c r="I16" i="52"/>
  <c r="J16" i="52" s="1"/>
  <c r="D16" i="52"/>
  <c r="E16" i="52" s="1"/>
  <c r="AB15" i="52"/>
  <c r="AC15" i="52" s="1"/>
  <c r="S15" i="52"/>
  <c r="T15" i="52" s="1"/>
  <c r="N15" i="52"/>
  <c r="I15" i="52"/>
  <c r="J15" i="52" s="1"/>
  <c r="D15" i="52"/>
  <c r="E15" i="52" s="1"/>
  <c r="S14" i="52"/>
  <c r="T14" i="52" s="1"/>
  <c r="N14" i="52"/>
  <c r="I14" i="52"/>
  <c r="D14" i="52"/>
  <c r="E14" i="52" s="1"/>
  <c r="F30" i="54"/>
  <c r="E30" i="54"/>
  <c r="D30" i="54"/>
  <c r="C30" i="54"/>
  <c r="B30" i="54"/>
  <c r="W82" i="55"/>
  <c r="V82" i="55"/>
  <c r="AA82" i="55" s="1"/>
  <c r="S82" i="55"/>
  <c r="T82" i="55" s="1"/>
  <c r="N82" i="55"/>
  <c r="O82" i="55" s="1"/>
  <c r="I82" i="55"/>
  <c r="J82" i="55" s="1"/>
  <c r="D82" i="55"/>
  <c r="E82" i="55" s="1"/>
  <c r="S80" i="55"/>
  <c r="N80" i="55"/>
  <c r="I80" i="55"/>
  <c r="D80" i="55"/>
  <c r="Z79" i="55"/>
  <c r="U79" i="55"/>
  <c r="P79" i="55"/>
  <c r="K79" i="55"/>
  <c r="F79" i="55"/>
  <c r="M76" i="55"/>
  <c r="L76" i="55"/>
  <c r="H76" i="55"/>
  <c r="G76" i="55"/>
  <c r="C76" i="55"/>
  <c r="B76" i="55"/>
  <c r="T75" i="55"/>
  <c r="E75" i="55"/>
  <c r="T74" i="55"/>
  <c r="E74" i="55"/>
  <c r="E73" i="55"/>
  <c r="T72" i="55"/>
  <c r="E72" i="55"/>
  <c r="T71" i="55"/>
  <c r="E71" i="55"/>
  <c r="T70" i="55"/>
  <c r="E70" i="55"/>
  <c r="T69" i="55"/>
  <c r="E69" i="55"/>
  <c r="T68" i="55"/>
  <c r="E68" i="55"/>
  <c r="T67" i="55"/>
  <c r="E67" i="55"/>
  <c r="T66" i="55"/>
  <c r="E66" i="55"/>
  <c r="T65" i="55"/>
  <c r="E65" i="55"/>
  <c r="T64" i="55"/>
  <c r="E64" i="55"/>
  <c r="T63" i="55"/>
  <c r="E63" i="55"/>
  <c r="T62" i="55"/>
  <c r="E62" i="55"/>
  <c r="T61" i="55"/>
  <c r="E61" i="55"/>
  <c r="T60" i="55"/>
  <c r="E60" i="55"/>
  <c r="T59" i="55"/>
  <c r="E59" i="55"/>
  <c r="T58" i="55"/>
  <c r="E58" i="55"/>
  <c r="T57" i="55"/>
  <c r="E57" i="55"/>
  <c r="T56" i="55"/>
  <c r="E56" i="55"/>
  <c r="AC55" i="55"/>
  <c r="T55" i="55"/>
  <c r="E55" i="55"/>
  <c r="T53" i="55"/>
  <c r="E53" i="55"/>
  <c r="T52" i="55"/>
  <c r="E52" i="55"/>
  <c r="T50" i="55"/>
  <c r="E50" i="55"/>
  <c r="T49" i="55"/>
  <c r="E49" i="55"/>
  <c r="T48" i="55"/>
  <c r="E48" i="55"/>
  <c r="T47" i="55"/>
  <c r="E47" i="55"/>
  <c r="T46" i="55"/>
  <c r="E46" i="55"/>
  <c r="T45" i="55"/>
  <c r="E45" i="55"/>
  <c r="S76" i="55"/>
  <c r="T76" i="55" s="1"/>
  <c r="N76" i="55"/>
  <c r="I76" i="55"/>
  <c r="E44" i="55"/>
  <c r="D76" i="55"/>
  <c r="AA41" i="55"/>
  <c r="R41" i="55"/>
  <c r="R78" i="55" s="1"/>
  <c r="Q41" i="55"/>
  <c r="Q78" i="55" s="1"/>
  <c r="Q79" i="55" s="1"/>
  <c r="M41" i="55"/>
  <c r="L41" i="55"/>
  <c r="G41" i="55"/>
  <c r="C41" i="55"/>
  <c r="E41" i="55"/>
  <c r="AB40" i="55"/>
  <c r="AC40" i="55" s="1"/>
  <c r="T40" i="55"/>
  <c r="O40" i="55"/>
  <c r="J40" i="55"/>
  <c r="AB39" i="55"/>
  <c r="AC39" i="55" s="1"/>
  <c r="T39" i="55"/>
  <c r="O39" i="55"/>
  <c r="J39" i="55"/>
  <c r="T38" i="55"/>
  <c r="O38" i="55"/>
  <c r="J38" i="55"/>
  <c r="AB37" i="55"/>
  <c r="AC37" i="55" s="1"/>
  <c r="T37" i="55"/>
  <c r="O37" i="55"/>
  <c r="J37" i="55"/>
  <c r="AB36" i="55"/>
  <c r="AC36" i="55" s="1"/>
  <c r="T36" i="55"/>
  <c r="O36" i="55"/>
  <c r="J36" i="55"/>
  <c r="AB35" i="55"/>
  <c r="AC35" i="55" s="1"/>
  <c r="T35" i="55"/>
  <c r="O35" i="55"/>
  <c r="J35" i="55"/>
  <c r="AB34" i="55"/>
  <c r="AC34" i="55" s="1"/>
  <c r="T34" i="55"/>
  <c r="O34" i="55"/>
  <c r="J34" i="55"/>
  <c r="AB33" i="55"/>
  <c r="AC33" i="55" s="1"/>
  <c r="V41" i="55"/>
  <c r="J33" i="55"/>
  <c r="N27" i="55"/>
  <c r="O27" i="55" s="1"/>
  <c r="I27" i="55"/>
  <c r="J27" i="55" s="1"/>
  <c r="D27" i="55"/>
  <c r="E27" i="55" s="1"/>
  <c r="T26" i="55"/>
  <c r="AA25" i="55"/>
  <c r="M29" i="55"/>
  <c r="B29" i="55"/>
  <c r="AB23" i="55"/>
  <c r="AC23" i="55" s="1"/>
  <c r="T23" i="55"/>
  <c r="N23" i="55"/>
  <c r="O23" i="55" s="1"/>
  <c r="I23" i="55"/>
  <c r="J23" i="55" s="1"/>
  <c r="E23" i="55"/>
  <c r="AB22" i="55"/>
  <c r="AC22" i="55" s="1"/>
  <c r="T22" i="55"/>
  <c r="N22" i="55"/>
  <c r="O22" i="55" s="1"/>
  <c r="I22" i="55"/>
  <c r="J22" i="55" s="1"/>
  <c r="E22" i="55"/>
  <c r="AB21" i="55"/>
  <c r="AC21" i="55" s="1"/>
  <c r="T21" i="55"/>
  <c r="N21" i="55"/>
  <c r="O21" i="55" s="1"/>
  <c r="I21" i="55"/>
  <c r="J21" i="55" s="1"/>
  <c r="E21" i="55"/>
  <c r="AB20" i="55"/>
  <c r="AC20" i="55" s="1"/>
  <c r="T20" i="55"/>
  <c r="N20" i="55"/>
  <c r="O20" i="55" s="1"/>
  <c r="I20" i="55"/>
  <c r="J20" i="55" s="1"/>
  <c r="E20" i="55"/>
  <c r="AB19" i="55"/>
  <c r="AC19" i="55" s="1"/>
  <c r="T19" i="55"/>
  <c r="N19" i="55"/>
  <c r="O19" i="55" s="1"/>
  <c r="J19" i="55"/>
  <c r="E19" i="55"/>
  <c r="AB18" i="55"/>
  <c r="AC18" i="55" s="1"/>
  <c r="T18" i="55"/>
  <c r="N18" i="55"/>
  <c r="O18" i="55" s="1"/>
  <c r="I18" i="55"/>
  <c r="J18" i="55" s="1"/>
  <c r="E18" i="55"/>
  <c r="AB17" i="55"/>
  <c r="AC17" i="55" s="1"/>
  <c r="T17" i="55"/>
  <c r="N17" i="55"/>
  <c r="O17" i="55" s="1"/>
  <c r="I17" i="55"/>
  <c r="J17" i="55" s="1"/>
  <c r="E17" i="55"/>
  <c r="AB16" i="55"/>
  <c r="AC16" i="55" s="1"/>
  <c r="T16" i="55"/>
  <c r="N16" i="55"/>
  <c r="O16" i="55" s="1"/>
  <c r="I16" i="55"/>
  <c r="J16" i="55" s="1"/>
  <c r="E16" i="55"/>
  <c r="AB15" i="55"/>
  <c r="AC15" i="55" s="1"/>
  <c r="T15" i="55"/>
  <c r="N15" i="55"/>
  <c r="O15" i="55" s="1"/>
  <c r="I15" i="55"/>
  <c r="J15" i="55" s="1"/>
  <c r="E15" i="55"/>
  <c r="N14" i="55"/>
  <c r="I14" i="55"/>
  <c r="E15" i="27"/>
  <c r="W82" i="61"/>
  <c r="V82" i="61"/>
  <c r="AA82" i="61" s="1"/>
  <c r="AB82" i="61" s="1"/>
  <c r="AC82" i="61" s="1"/>
  <c r="S82" i="61"/>
  <c r="T82" i="61" s="1"/>
  <c r="I82" i="61"/>
  <c r="J82" i="61" s="1"/>
  <c r="D82" i="61"/>
  <c r="E82" i="61" s="1"/>
  <c r="I80" i="61"/>
  <c r="D80" i="61"/>
  <c r="Z79" i="61"/>
  <c r="U79" i="61"/>
  <c r="P79" i="61"/>
  <c r="K79" i="61"/>
  <c r="S76" i="61"/>
  <c r="R76" i="61"/>
  <c r="Q76" i="61"/>
  <c r="L76" i="61"/>
  <c r="O76" i="61" s="1"/>
  <c r="H76" i="61"/>
  <c r="C76" i="61"/>
  <c r="Y75" i="61"/>
  <c r="T75" i="61"/>
  <c r="J75" i="61"/>
  <c r="E75" i="61"/>
  <c r="Y74" i="61"/>
  <c r="T74" i="61"/>
  <c r="J74" i="61"/>
  <c r="E74" i="61"/>
  <c r="Y73" i="61"/>
  <c r="J73" i="61"/>
  <c r="E73" i="61"/>
  <c r="Y72" i="61"/>
  <c r="T72" i="61"/>
  <c r="J72" i="61"/>
  <c r="E72" i="61"/>
  <c r="Y71" i="61"/>
  <c r="T71" i="61"/>
  <c r="J71" i="61"/>
  <c r="E71" i="61"/>
  <c r="Y70" i="61"/>
  <c r="T70" i="61"/>
  <c r="J70" i="61"/>
  <c r="E70" i="61"/>
  <c r="Y69" i="61"/>
  <c r="T69" i="61"/>
  <c r="J69" i="61"/>
  <c r="E69" i="61"/>
  <c r="Y68" i="61"/>
  <c r="T68" i="61"/>
  <c r="J68" i="61"/>
  <c r="E68" i="61"/>
  <c r="Y67" i="61"/>
  <c r="T67" i="61"/>
  <c r="J67" i="61"/>
  <c r="E67" i="61"/>
  <c r="Y66" i="61"/>
  <c r="T66" i="61"/>
  <c r="J66" i="61"/>
  <c r="E66" i="61"/>
  <c r="Y65" i="61"/>
  <c r="T65" i="61"/>
  <c r="J65" i="61"/>
  <c r="E65" i="61"/>
  <c r="Y64" i="61"/>
  <c r="T64" i="61"/>
  <c r="J64" i="61"/>
  <c r="E64" i="61"/>
  <c r="Y63" i="61"/>
  <c r="T63" i="61"/>
  <c r="J63" i="61"/>
  <c r="E63" i="61"/>
  <c r="Y62" i="61"/>
  <c r="T62" i="61"/>
  <c r="J62" i="61"/>
  <c r="E62" i="61"/>
  <c r="Y61" i="61"/>
  <c r="T61" i="61"/>
  <c r="J61" i="61"/>
  <c r="E61" i="61"/>
  <c r="Y60" i="61"/>
  <c r="T60" i="61"/>
  <c r="J60" i="61"/>
  <c r="E60" i="61"/>
  <c r="Y59" i="61"/>
  <c r="T59" i="61"/>
  <c r="J59" i="61"/>
  <c r="E59" i="61"/>
  <c r="Y58" i="61"/>
  <c r="T58" i="61"/>
  <c r="J58" i="61"/>
  <c r="E58" i="61"/>
  <c r="Y57" i="61"/>
  <c r="T57" i="61"/>
  <c r="J57" i="61"/>
  <c r="E57" i="61"/>
  <c r="Y56" i="61"/>
  <c r="T56" i="61"/>
  <c r="J56" i="61"/>
  <c r="E56" i="61"/>
  <c r="Y55" i="61"/>
  <c r="T55" i="61"/>
  <c r="J55" i="61"/>
  <c r="E55" i="61"/>
  <c r="Y53" i="61"/>
  <c r="T53" i="61"/>
  <c r="J53" i="61"/>
  <c r="E53" i="61"/>
  <c r="Y52" i="61"/>
  <c r="T52" i="61"/>
  <c r="J52" i="61"/>
  <c r="E52" i="61"/>
  <c r="Y50" i="61"/>
  <c r="T50" i="61"/>
  <c r="O50" i="61"/>
  <c r="J50" i="61"/>
  <c r="E50" i="61"/>
  <c r="Y49" i="61"/>
  <c r="T49" i="61"/>
  <c r="O49" i="61"/>
  <c r="J49" i="61"/>
  <c r="E49" i="61"/>
  <c r="Y48" i="61"/>
  <c r="T48" i="61"/>
  <c r="O48" i="61"/>
  <c r="J48" i="61"/>
  <c r="E48" i="61"/>
  <c r="Y47" i="61"/>
  <c r="T47" i="61"/>
  <c r="O47" i="61"/>
  <c r="J47" i="61"/>
  <c r="E47" i="61"/>
  <c r="Y46" i="61"/>
  <c r="T46" i="61"/>
  <c r="O46" i="61"/>
  <c r="J46" i="61"/>
  <c r="E46" i="61"/>
  <c r="Y45" i="61"/>
  <c r="T45" i="61"/>
  <c r="O45" i="61"/>
  <c r="J45" i="61"/>
  <c r="E45" i="61"/>
  <c r="Y44" i="61"/>
  <c r="T44" i="61"/>
  <c r="O44" i="61"/>
  <c r="AA41" i="61"/>
  <c r="S41" i="61"/>
  <c r="R41" i="61"/>
  <c r="Q41" i="61"/>
  <c r="M41" i="61"/>
  <c r="M78" i="61" s="1"/>
  <c r="L41" i="61"/>
  <c r="C41" i="61"/>
  <c r="B41" i="61"/>
  <c r="B78" i="61" s="1"/>
  <c r="Y40" i="61"/>
  <c r="T40" i="61"/>
  <c r="O40" i="61"/>
  <c r="J40" i="61"/>
  <c r="T39" i="61"/>
  <c r="O39" i="61"/>
  <c r="J39" i="61"/>
  <c r="Y38" i="61"/>
  <c r="T38" i="61"/>
  <c r="O38" i="61"/>
  <c r="J38" i="61"/>
  <c r="T37" i="61"/>
  <c r="O37" i="61"/>
  <c r="J37" i="61"/>
  <c r="Y36" i="61"/>
  <c r="T36" i="61"/>
  <c r="O36" i="61"/>
  <c r="J36" i="61"/>
  <c r="T35" i="61"/>
  <c r="O35" i="61"/>
  <c r="J35" i="61"/>
  <c r="V41" i="61"/>
  <c r="V78" i="61" s="1"/>
  <c r="O34" i="61"/>
  <c r="J34" i="61"/>
  <c r="W41" i="61"/>
  <c r="W78" i="61" s="1"/>
  <c r="N78" i="61"/>
  <c r="T28" i="61"/>
  <c r="W27" i="61"/>
  <c r="V27" i="61"/>
  <c r="S27" i="61"/>
  <c r="T27" i="61" s="1"/>
  <c r="N27" i="61"/>
  <c r="O27" i="61" s="1"/>
  <c r="J27" i="61"/>
  <c r="D27" i="61"/>
  <c r="E27" i="61" s="1"/>
  <c r="T26" i="61"/>
  <c r="AA25" i="61"/>
  <c r="R25" i="61"/>
  <c r="Q25" i="61"/>
  <c r="M25" i="61"/>
  <c r="L25" i="61"/>
  <c r="H25" i="61"/>
  <c r="H29" i="61" s="1"/>
  <c r="G25" i="61"/>
  <c r="T24" i="61"/>
  <c r="N24" i="61"/>
  <c r="O24" i="61" s="1"/>
  <c r="I24" i="61"/>
  <c r="J24" i="61" s="1"/>
  <c r="E24" i="61"/>
  <c r="T23" i="61"/>
  <c r="N23" i="61"/>
  <c r="O23" i="61" s="1"/>
  <c r="I23" i="61"/>
  <c r="J23" i="61" s="1"/>
  <c r="E23" i="61"/>
  <c r="T22" i="61"/>
  <c r="N22" i="61"/>
  <c r="O22" i="61" s="1"/>
  <c r="I22" i="61"/>
  <c r="J22" i="61" s="1"/>
  <c r="T21" i="61"/>
  <c r="N21" i="61"/>
  <c r="O21" i="61" s="1"/>
  <c r="I21" i="61"/>
  <c r="J21" i="61" s="1"/>
  <c r="E21" i="61"/>
  <c r="T20" i="61"/>
  <c r="N20" i="61"/>
  <c r="O20" i="61" s="1"/>
  <c r="I20" i="61"/>
  <c r="J20" i="61" s="1"/>
  <c r="E20" i="61"/>
  <c r="T18" i="61"/>
  <c r="N18" i="61"/>
  <c r="O18" i="61" s="1"/>
  <c r="I18" i="61"/>
  <c r="J18" i="61" s="1"/>
  <c r="E18" i="61"/>
  <c r="T17" i="61"/>
  <c r="N17" i="61"/>
  <c r="O17" i="61" s="1"/>
  <c r="I17" i="61"/>
  <c r="J17" i="61" s="1"/>
  <c r="E17" i="61"/>
  <c r="T16" i="61"/>
  <c r="N16" i="61"/>
  <c r="O16" i="61" s="1"/>
  <c r="I16" i="61"/>
  <c r="J16" i="61" s="1"/>
  <c r="E16" i="61"/>
  <c r="V25" i="61"/>
  <c r="T15" i="61"/>
  <c r="N15" i="61"/>
  <c r="O15" i="61" s="1"/>
  <c r="I15" i="61"/>
  <c r="J15" i="61" s="1"/>
  <c r="E15" i="61"/>
  <c r="AC14" i="61"/>
  <c r="W25" i="61"/>
  <c r="T14" i="61"/>
  <c r="O14" i="61"/>
  <c r="I14" i="61"/>
  <c r="D14" i="61"/>
  <c r="E14" i="61" s="1"/>
  <c r="W82" i="45"/>
  <c r="V82" i="45"/>
  <c r="X82" i="45" s="1"/>
  <c r="Y82" i="45" s="1"/>
  <c r="T82" i="45"/>
  <c r="S82" i="45"/>
  <c r="N82" i="45"/>
  <c r="O82" i="45" s="1"/>
  <c r="J82" i="45"/>
  <c r="I82" i="45"/>
  <c r="D82" i="45"/>
  <c r="AC81" i="45"/>
  <c r="Z81" i="45"/>
  <c r="Y81" i="45"/>
  <c r="U81" i="45"/>
  <c r="T81" i="45"/>
  <c r="P81" i="45"/>
  <c r="O81" i="45"/>
  <c r="K81" i="45"/>
  <c r="J81" i="45"/>
  <c r="F81" i="45"/>
  <c r="S80" i="45"/>
  <c r="N80" i="45"/>
  <c r="I80" i="45"/>
  <c r="D80" i="45"/>
  <c r="Z79" i="45"/>
  <c r="U79" i="45"/>
  <c r="P79" i="45"/>
  <c r="K79" i="45"/>
  <c r="F79" i="45"/>
  <c r="W76" i="45"/>
  <c r="V76" i="45"/>
  <c r="V78" i="45" s="1"/>
  <c r="S76" i="45"/>
  <c r="R76" i="45"/>
  <c r="Q76" i="45"/>
  <c r="M76" i="45"/>
  <c r="L76" i="45"/>
  <c r="C76" i="45"/>
  <c r="B76" i="45"/>
  <c r="AB75" i="45"/>
  <c r="AC75" i="45" s="1"/>
  <c r="T75" i="45"/>
  <c r="O75" i="45"/>
  <c r="J75" i="45"/>
  <c r="E75" i="45"/>
  <c r="AB74" i="45"/>
  <c r="AC74" i="45" s="1"/>
  <c r="T74" i="45"/>
  <c r="O74" i="45"/>
  <c r="J74" i="45"/>
  <c r="E74" i="45"/>
  <c r="AB73" i="45"/>
  <c r="AC73" i="45" s="1"/>
  <c r="J73" i="45"/>
  <c r="E73" i="45"/>
  <c r="AB72" i="45"/>
  <c r="AC72" i="45" s="1"/>
  <c r="T72" i="45"/>
  <c r="O72" i="45"/>
  <c r="J72" i="45"/>
  <c r="E72" i="45"/>
  <c r="AB71" i="45"/>
  <c r="AC71" i="45" s="1"/>
  <c r="T71" i="45"/>
  <c r="O71" i="45"/>
  <c r="J71" i="45"/>
  <c r="E71" i="45"/>
  <c r="AB70" i="45"/>
  <c r="AC70" i="45" s="1"/>
  <c r="T70" i="45"/>
  <c r="O70" i="45"/>
  <c r="J70" i="45"/>
  <c r="E70" i="45"/>
  <c r="AB69" i="45"/>
  <c r="AC69" i="45" s="1"/>
  <c r="T69" i="45"/>
  <c r="O69" i="45"/>
  <c r="J69" i="45"/>
  <c r="E69" i="45"/>
  <c r="AB68" i="45"/>
  <c r="AC68" i="45" s="1"/>
  <c r="T68" i="45"/>
  <c r="O68" i="45"/>
  <c r="J68" i="45"/>
  <c r="E68" i="45"/>
  <c r="AB67" i="45"/>
  <c r="AC67" i="45" s="1"/>
  <c r="T67" i="45"/>
  <c r="O67" i="45"/>
  <c r="J67" i="45"/>
  <c r="E67" i="45"/>
  <c r="AB66" i="45"/>
  <c r="AC66" i="45" s="1"/>
  <c r="T66" i="45"/>
  <c r="O66" i="45"/>
  <c r="J66" i="45"/>
  <c r="E66" i="45"/>
  <c r="AB65" i="45"/>
  <c r="AC65" i="45" s="1"/>
  <c r="T65" i="45"/>
  <c r="O65" i="45"/>
  <c r="J65" i="45"/>
  <c r="E65" i="45"/>
  <c r="AB64" i="45"/>
  <c r="AC64" i="45" s="1"/>
  <c r="T64" i="45"/>
  <c r="O64" i="45"/>
  <c r="J64" i="45"/>
  <c r="E64" i="45"/>
  <c r="AB63" i="45"/>
  <c r="AC63" i="45" s="1"/>
  <c r="T63" i="45"/>
  <c r="O63" i="45"/>
  <c r="J63" i="45"/>
  <c r="E63" i="45"/>
  <c r="AB62" i="45"/>
  <c r="AC62" i="45" s="1"/>
  <c r="T62" i="45"/>
  <c r="O62" i="45"/>
  <c r="J62" i="45"/>
  <c r="E62" i="45"/>
  <c r="T61" i="45"/>
  <c r="O61" i="45"/>
  <c r="J61" i="45"/>
  <c r="E61" i="45"/>
  <c r="AB60" i="45"/>
  <c r="AC60" i="45" s="1"/>
  <c r="T60" i="45"/>
  <c r="O60" i="45"/>
  <c r="J60" i="45"/>
  <c r="E60" i="45"/>
  <c r="AB59" i="45"/>
  <c r="AC59" i="45" s="1"/>
  <c r="T59" i="45"/>
  <c r="O59" i="45"/>
  <c r="J59" i="45"/>
  <c r="E59" i="45"/>
  <c r="AB58" i="45"/>
  <c r="AC58" i="45" s="1"/>
  <c r="T58" i="45"/>
  <c r="O58" i="45"/>
  <c r="J58" i="45"/>
  <c r="E58" i="45"/>
  <c r="AB57" i="45"/>
  <c r="AC57" i="45" s="1"/>
  <c r="T57" i="45"/>
  <c r="O57" i="45"/>
  <c r="J57" i="45"/>
  <c r="E57" i="45"/>
  <c r="AB56" i="45"/>
  <c r="AC56" i="45" s="1"/>
  <c r="T56" i="45"/>
  <c r="O56" i="45"/>
  <c r="J56" i="45"/>
  <c r="E56" i="45"/>
  <c r="T55" i="45"/>
  <c r="O55" i="45"/>
  <c r="J55" i="45"/>
  <c r="E55" i="45"/>
  <c r="O54" i="45"/>
  <c r="J54" i="45"/>
  <c r="E54" i="45"/>
  <c r="AB53" i="45"/>
  <c r="AC53" i="45" s="1"/>
  <c r="T53" i="45"/>
  <c r="O53" i="45"/>
  <c r="J53" i="45"/>
  <c r="E53" i="45"/>
  <c r="AB52" i="45"/>
  <c r="AC52" i="45" s="1"/>
  <c r="T52" i="45"/>
  <c r="O52" i="45"/>
  <c r="J52" i="45"/>
  <c r="E52" i="45"/>
  <c r="E51" i="45"/>
  <c r="AB50" i="45"/>
  <c r="AC50" i="45" s="1"/>
  <c r="T50" i="45"/>
  <c r="O50" i="45"/>
  <c r="J50" i="45"/>
  <c r="E50" i="45"/>
  <c r="AB49" i="45"/>
  <c r="AC49" i="45" s="1"/>
  <c r="T49" i="45"/>
  <c r="O49" i="45"/>
  <c r="J49" i="45"/>
  <c r="E49" i="45"/>
  <c r="AB48" i="45"/>
  <c r="AC48" i="45" s="1"/>
  <c r="T48" i="45"/>
  <c r="O48" i="45"/>
  <c r="J48" i="45"/>
  <c r="E48" i="45"/>
  <c r="AB47" i="45"/>
  <c r="AC47" i="45" s="1"/>
  <c r="T47" i="45"/>
  <c r="O47" i="45"/>
  <c r="J47" i="45"/>
  <c r="E47" i="45"/>
  <c r="AB46" i="45"/>
  <c r="AC46" i="45" s="1"/>
  <c r="T46" i="45"/>
  <c r="O46" i="45"/>
  <c r="J46" i="45"/>
  <c r="E46" i="45"/>
  <c r="AB45" i="45"/>
  <c r="AC45" i="45" s="1"/>
  <c r="T45" i="45"/>
  <c r="O45" i="45"/>
  <c r="J45" i="45"/>
  <c r="AB44" i="45"/>
  <c r="T44" i="45"/>
  <c r="O44" i="45"/>
  <c r="E44" i="45"/>
  <c r="S41" i="45"/>
  <c r="R41" i="45"/>
  <c r="Q41" i="45"/>
  <c r="M41" i="45"/>
  <c r="L41" i="45"/>
  <c r="H41" i="45"/>
  <c r="H78" i="45" s="1"/>
  <c r="H79" i="45" s="1"/>
  <c r="G41" i="45"/>
  <c r="G78" i="45" s="1"/>
  <c r="C41" i="45"/>
  <c r="B41" i="45"/>
  <c r="AB40" i="45"/>
  <c r="AC40" i="45" s="1"/>
  <c r="Y40" i="45"/>
  <c r="T40" i="45"/>
  <c r="O40" i="45"/>
  <c r="J40" i="45"/>
  <c r="E40" i="45"/>
  <c r="T39" i="45"/>
  <c r="O39" i="45"/>
  <c r="J39" i="45"/>
  <c r="E39" i="45"/>
  <c r="T38" i="45"/>
  <c r="O38" i="45"/>
  <c r="J38" i="45"/>
  <c r="E38" i="45"/>
  <c r="T37" i="45"/>
  <c r="O37" i="45"/>
  <c r="J37" i="45"/>
  <c r="E37" i="45"/>
  <c r="T36" i="45"/>
  <c r="O36" i="45"/>
  <c r="J36" i="45"/>
  <c r="E36" i="45"/>
  <c r="T35" i="45"/>
  <c r="O35" i="45"/>
  <c r="J35" i="45"/>
  <c r="E35" i="45"/>
  <c r="T34" i="45"/>
  <c r="O34" i="45"/>
  <c r="J34" i="45"/>
  <c r="E34" i="45"/>
  <c r="T33" i="45"/>
  <c r="J33" i="45"/>
  <c r="T28" i="45"/>
  <c r="W27" i="45"/>
  <c r="V27" i="45"/>
  <c r="T27" i="45"/>
  <c r="N27" i="45"/>
  <c r="O27" i="45" s="1"/>
  <c r="I27" i="45"/>
  <c r="J27" i="45" s="1"/>
  <c r="D27" i="45"/>
  <c r="E27" i="45" s="1"/>
  <c r="T26" i="45"/>
  <c r="S25" i="45"/>
  <c r="S29" i="45" s="1"/>
  <c r="R29" i="45"/>
  <c r="Q29" i="45"/>
  <c r="L25" i="45"/>
  <c r="G25" i="45"/>
  <c r="C25" i="45"/>
  <c r="B25" i="45"/>
  <c r="Y24" i="45"/>
  <c r="T24" i="45"/>
  <c r="O24" i="45"/>
  <c r="J24" i="45"/>
  <c r="E24" i="45"/>
  <c r="Y23" i="45"/>
  <c r="T23" i="45"/>
  <c r="O23" i="45"/>
  <c r="J23" i="45"/>
  <c r="E23" i="45"/>
  <c r="Y22" i="45"/>
  <c r="T22" i="45"/>
  <c r="O22" i="45"/>
  <c r="J22" i="45"/>
  <c r="E22" i="45"/>
  <c r="Y21" i="45"/>
  <c r="T21" i="45"/>
  <c r="O21" i="45"/>
  <c r="J21" i="45"/>
  <c r="E21" i="45"/>
  <c r="Y20" i="45"/>
  <c r="T20" i="45"/>
  <c r="J20" i="45"/>
  <c r="E20" i="45"/>
  <c r="Y18" i="45"/>
  <c r="T18" i="45"/>
  <c r="O18" i="45"/>
  <c r="J18" i="45"/>
  <c r="E18" i="45"/>
  <c r="AC17" i="45"/>
  <c r="Y17" i="45"/>
  <c r="T17" i="45"/>
  <c r="O17" i="45"/>
  <c r="J17" i="45"/>
  <c r="E17" i="45"/>
  <c r="T16" i="45"/>
  <c r="O16" i="45"/>
  <c r="J16" i="45"/>
  <c r="E16" i="45"/>
  <c r="T15" i="45"/>
  <c r="O15" i="45"/>
  <c r="J15" i="45"/>
  <c r="E15" i="45"/>
  <c r="W25" i="45"/>
  <c r="T14" i="45"/>
  <c r="N14" i="45"/>
  <c r="O14" i="45" s="1"/>
  <c r="J14" i="45"/>
  <c r="D14" i="45"/>
  <c r="E14" i="45" s="1"/>
  <c r="X82" i="46"/>
  <c r="Y82" i="46" s="1"/>
  <c r="W82" i="46"/>
  <c r="V82" i="46"/>
  <c r="AA82" i="46" s="1"/>
  <c r="AB82" i="46" s="1"/>
  <c r="AC82" i="46" s="1"/>
  <c r="S82" i="46"/>
  <c r="T82" i="46" s="1"/>
  <c r="N82" i="46"/>
  <c r="O82" i="46" s="1"/>
  <c r="I82" i="46"/>
  <c r="J82" i="46" s="1"/>
  <c r="D82" i="46"/>
  <c r="E82" i="46" s="1"/>
  <c r="AC81" i="46"/>
  <c r="Y81" i="46"/>
  <c r="T81" i="46"/>
  <c r="O81" i="46"/>
  <c r="K81" i="46"/>
  <c r="J81" i="46"/>
  <c r="F81" i="46"/>
  <c r="E81" i="46"/>
  <c r="S80" i="46"/>
  <c r="N80" i="46"/>
  <c r="I80" i="46"/>
  <c r="D80" i="46"/>
  <c r="Z79" i="46"/>
  <c r="Z81" i="46" s="1"/>
  <c r="U79" i="46"/>
  <c r="U81" i="46" s="1"/>
  <c r="P79" i="46"/>
  <c r="P81" i="46" s="1"/>
  <c r="K79" i="46"/>
  <c r="F79" i="46"/>
  <c r="R75" i="46"/>
  <c r="Q75" i="46"/>
  <c r="M75" i="46"/>
  <c r="L75" i="46"/>
  <c r="H75" i="46"/>
  <c r="G75" i="46"/>
  <c r="C75" i="46"/>
  <c r="B75" i="46"/>
  <c r="R74" i="46"/>
  <c r="Q74" i="46"/>
  <c r="M74" i="46"/>
  <c r="H74" i="46"/>
  <c r="G74" i="46"/>
  <c r="C74" i="46"/>
  <c r="B74" i="46"/>
  <c r="R73" i="46"/>
  <c r="Q73" i="46"/>
  <c r="M73" i="46"/>
  <c r="L73" i="46"/>
  <c r="H73" i="46"/>
  <c r="G73" i="46"/>
  <c r="C73" i="46"/>
  <c r="B73" i="46"/>
  <c r="R72" i="46"/>
  <c r="M72" i="46"/>
  <c r="H72" i="46"/>
  <c r="G72" i="46"/>
  <c r="C72" i="46"/>
  <c r="B72" i="46"/>
  <c r="R71" i="46"/>
  <c r="Q71" i="46"/>
  <c r="M71" i="46"/>
  <c r="L71" i="46"/>
  <c r="H71" i="46"/>
  <c r="G71" i="46"/>
  <c r="C71" i="46"/>
  <c r="B71" i="46"/>
  <c r="R70" i="46"/>
  <c r="Q70" i="46"/>
  <c r="M70" i="46"/>
  <c r="L70" i="46"/>
  <c r="H70" i="46"/>
  <c r="G70" i="46"/>
  <c r="C70" i="46"/>
  <c r="B70" i="46"/>
  <c r="R69" i="46"/>
  <c r="Q69" i="46"/>
  <c r="M69" i="46"/>
  <c r="L69" i="46"/>
  <c r="H69" i="46"/>
  <c r="C69" i="46"/>
  <c r="B69" i="46"/>
  <c r="R68" i="46"/>
  <c r="Q68" i="46"/>
  <c r="M68" i="46"/>
  <c r="L68" i="46"/>
  <c r="H68" i="46"/>
  <c r="G68" i="46"/>
  <c r="C68" i="46"/>
  <c r="B68" i="46"/>
  <c r="Q67" i="46"/>
  <c r="R66" i="46"/>
  <c r="Q66" i="46"/>
  <c r="M66" i="46"/>
  <c r="L66" i="46"/>
  <c r="H66" i="46"/>
  <c r="G66" i="46"/>
  <c r="C66" i="46"/>
  <c r="B66" i="46"/>
  <c r="B65" i="46"/>
  <c r="R64" i="46"/>
  <c r="Q64" i="46"/>
  <c r="M64" i="46"/>
  <c r="L64" i="46"/>
  <c r="H64" i="46"/>
  <c r="G64" i="46"/>
  <c r="C64" i="46"/>
  <c r="B64" i="46"/>
  <c r="R63" i="46"/>
  <c r="Q63" i="46"/>
  <c r="M63" i="46"/>
  <c r="L63" i="46"/>
  <c r="H63" i="46"/>
  <c r="G63" i="46"/>
  <c r="C63" i="46"/>
  <c r="B63" i="46"/>
  <c r="R62" i="46"/>
  <c r="L62" i="46"/>
  <c r="C62" i="46"/>
  <c r="R61" i="46"/>
  <c r="Q61" i="46"/>
  <c r="M61" i="46"/>
  <c r="H61" i="46"/>
  <c r="G61" i="46"/>
  <c r="C61" i="46"/>
  <c r="B61" i="46"/>
  <c r="R60" i="46"/>
  <c r="M60" i="46"/>
  <c r="L60" i="46"/>
  <c r="H60" i="46"/>
  <c r="C60" i="46"/>
  <c r="B60" i="46"/>
  <c r="R59" i="46"/>
  <c r="Q59" i="46"/>
  <c r="M59" i="46"/>
  <c r="L59" i="46"/>
  <c r="H59" i="46"/>
  <c r="G59" i="46"/>
  <c r="C59" i="46"/>
  <c r="B59" i="46"/>
  <c r="R58" i="46"/>
  <c r="M58" i="46"/>
  <c r="H58" i="46"/>
  <c r="G58" i="46"/>
  <c r="C58" i="46"/>
  <c r="B58" i="46"/>
  <c r="Q57" i="46"/>
  <c r="L57" i="46"/>
  <c r="G57" i="46"/>
  <c r="Q56" i="46"/>
  <c r="M56" i="46"/>
  <c r="L56" i="46"/>
  <c r="H56" i="46"/>
  <c r="G56" i="46"/>
  <c r="C56" i="46"/>
  <c r="R55" i="46"/>
  <c r="Q55" i="46"/>
  <c r="M55" i="46"/>
  <c r="L55" i="46"/>
  <c r="H55" i="46"/>
  <c r="G55" i="46"/>
  <c r="C55" i="46"/>
  <c r="B55" i="46"/>
  <c r="R54" i="46"/>
  <c r="Q54" i="46"/>
  <c r="M54" i="46"/>
  <c r="L54" i="46"/>
  <c r="H54" i="46"/>
  <c r="G54" i="46"/>
  <c r="C54" i="46"/>
  <c r="B54" i="46"/>
  <c r="Q53" i="46"/>
  <c r="G53" i="46"/>
  <c r="M52" i="46"/>
  <c r="G52" i="46"/>
  <c r="C52" i="46"/>
  <c r="B52" i="46"/>
  <c r="AB51" i="46"/>
  <c r="AC51" i="46" s="1"/>
  <c r="H51" i="46"/>
  <c r="C51" i="46"/>
  <c r="C50" i="46"/>
  <c r="R49" i="46"/>
  <c r="Q49" i="46"/>
  <c r="M49" i="46"/>
  <c r="H49" i="46"/>
  <c r="C49" i="46"/>
  <c r="B49" i="46"/>
  <c r="R48" i="46"/>
  <c r="M48" i="46"/>
  <c r="L48" i="46"/>
  <c r="H48" i="46"/>
  <c r="G48" i="46"/>
  <c r="C48" i="46"/>
  <c r="B48" i="46"/>
  <c r="R47" i="46"/>
  <c r="M47" i="46"/>
  <c r="L47" i="46"/>
  <c r="H47" i="46"/>
  <c r="C47" i="46"/>
  <c r="R46" i="46"/>
  <c r="Q46" i="46"/>
  <c r="M46" i="46"/>
  <c r="L46" i="46"/>
  <c r="H46" i="46"/>
  <c r="G46" i="46"/>
  <c r="C46" i="46"/>
  <c r="B46" i="46"/>
  <c r="R45" i="46"/>
  <c r="M45" i="46"/>
  <c r="H45" i="46"/>
  <c r="C45" i="46"/>
  <c r="M44" i="46"/>
  <c r="R40" i="46"/>
  <c r="Q40" i="46"/>
  <c r="M40" i="46"/>
  <c r="L40" i="46"/>
  <c r="H40" i="46"/>
  <c r="G40" i="46"/>
  <c r="C40" i="46"/>
  <c r="B40" i="46"/>
  <c r="R39" i="46"/>
  <c r="Q39" i="46"/>
  <c r="M39" i="46"/>
  <c r="L39" i="46"/>
  <c r="H39" i="46"/>
  <c r="G39" i="46"/>
  <c r="C39" i="46"/>
  <c r="B39" i="46"/>
  <c r="Q38" i="46"/>
  <c r="G38" i="46"/>
  <c r="C38" i="46"/>
  <c r="B38" i="46"/>
  <c r="R37" i="46"/>
  <c r="C37" i="46"/>
  <c r="B37" i="46"/>
  <c r="C36" i="46"/>
  <c r="B36" i="46"/>
  <c r="R35" i="46"/>
  <c r="Q35" i="46"/>
  <c r="M35" i="46"/>
  <c r="G35" i="46"/>
  <c r="C35" i="46"/>
  <c r="B35" i="46"/>
  <c r="R34" i="46"/>
  <c r="Q34" i="46"/>
  <c r="M34" i="46"/>
  <c r="L34" i="46"/>
  <c r="H34" i="46"/>
  <c r="G34" i="46"/>
  <c r="C34" i="46"/>
  <c r="B34" i="46"/>
  <c r="C33" i="46"/>
  <c r="T28" i="46"/>
  <c r="R27" i="46"/>
  <c r="Q27" i="46"/>
  <c r="M27" i="46"/>
  <c r="L27" i="46"/>
  <c r="H27" i="46"/>
  <c r="G27" i="46"/>
  <c r="C27" i="46"/>
  <c r="T26" i="46"/>
  <c r="C24" i="46"/>
  <c r="B24" i="46"/>
  <c r="C23" i="46"/>
  <c r="W23" i="46" s="1"/>
  <c r="B23" i="46"/>
  <c r="V23" i="46" s="1"/>
  <c r="C22" i="46"/>
  <c r="W22" i="46" s="1"/>
  <c r="B22" i="46"/>
  <c r="V22" i="46" s="1"/>
  <c r="C21" i="46"/>
  <c r="W21" i="46" s="1"/>
  <c r="C18" i="46"/>
  <c r="W18" i="46" s="1"/>
  <c r="B18" i="46"/>
  <c r="V18" i="46" s="1"/>
  <c r="C17" i="46"/>
  <c r="W17" i="46" s="1"/>
  <c r="B17" i="46"/>
  <c r="V17" i="46" s="1"/>
  <c r="C16" i="46"/>
  <c r="W16" i="46" s="1"/>
  <c r="B16" i="46"/>
  <c r="V16" i="46" s="1"/>
  <c r="C15" i="46"/>
  <c r="W15" i="46" s="1"/>
  <c r="B15" i="46"/>
  <c r="V15" i="46" s="1"/>
  <c r="R14" i="46"/>
  <c r="Q14" i="46"/>
  <c r="M14" i="46"/>
  <c r="L14" i="46"/>
  <c r="G14" i="46"/>
  <c r="C14" i="46"/>
  <c r="K70" i="40"/>
  <c r="G70" i="40"/>
  <c r="C70" i="40"/>
  <c r="K63" i="40"/>
  <c r="J63" i="40"/>
  <c r="J72" i="40" s="1"/>
  <c r="G63" i="40"/>
  <c r="E63" i="40"/>
  <c r="D63" i="40"/>
  <c r="C63" i="40"/>
  <c r="K57" i="40"/>
  <c r="G57" i="40"/>
  <c r="E57" i="40"/>
  <c r="D57" i="40"/>
  <c r="C57" i="40"/>
  <c r="L35" i="27"/>
  <c r="L36" i="27" s="1"/>
  <c r="I43" i="40"/>
  <c r="I35" i="27" s="1"/>
  <c r="I36" i="27" s="1"/>
  <c r="G39" i="40"/>
  <c r="C39" i="40"/>
  <c r="G30" i="40"/>
  <c r="K20" i="40"/>
  <c r="AA82" i="45" l="1"/>
  <c r="AB82" i="45" s="1"/>
  <c r="AC82" i="45" s="1"/>
  <c r="L78" i="48"/>
  <c r="X82" i="68"/>
  <c r="M78" i="48"/>
  <c r="AA29" i="67"/>
  <c r="AA79" i="67"/>
  <c r="X82" i="67"/>
  <c r="Y82" i="67" s="1"/>
  <c r="T76" i="45"/>
  <c r="W79" i="61"/>
  <c r="G78" i="58"/>
  <c r="L29" i="59"/>
  <c r="O24" i="59"/>
  <c r="H78" i="58"/>
  <c r="AB19" i="48"/>
  <c r="AC19" i="48" s="1"/>
  <c r="X19" i="48"/>
  <c r="Y19" i="48" s="1"/>
  <c r="W76" i="48"/>
  <c r="AB44" i="48"/>
  <c r="AB82" i="58"/>
  <c r="AC82" i="58" s="1"/>
  <c r="B43" i="66"/>
  <c r="AB45" i="68"/>
  <c r="AC45" i="68" s="1"/>
  <c r="E14" i="68"/>
  <c r="D25" i="68"/>
  <c r="AB40" i="59"/>
  <c r="AC40" i="59" s="1"/>
  <c r="X40" i="59"/>
  <c r="H25" i="27"/>
  <c r="H17" i="27"/>
  <c r="J15" i="59"/>
  <c r="I25" i="59"/>
  <c r="W41" i="59"/>
  <c r="L17" i="27"/>
  <c r="E43" i="69"/>
  <c r="B29" i="68"/>
  <c r="B79" i="68"/>
  <c r="B81" i="68" s="1"/>
  <c r="L78" i="68"/>
  <c r="L79" i="68" s="1"/>
  <c r="L81" i="68" s="1"/>
  <c r="L83" i="68" s="1"/>
  <c r="W81" i="61"/>
  <c r="B29" i="67"/>
  <c r="B79" i="67"/>
  <c r="B81" i="67" s="1"/>
  <c r="B83" i="67" s="1"/>
  <c r="AC62" i="53"/>
  <c r="AB76" i="53"/>
  <c r="E14" i="59"/>
  <c r="D25" i="59"/>
  <c r="E25" i="59" s="1"/>
  <c r="L78" i="55"/>
  <c r="O76" i="55"/>
  <c r="N25" i="55"/>
  <c r="I25" i="55"/>
  <c r="E14" i="55"/>
  <c r="D25" i="55"/>
  <c r="AA78" i="61"/>
  <c r="M78" i="53"/>
  <c r="M79" i="53" s="1"/>
  <c r="M81" i="53" s="1"/>
  <c r="M83" i="53" s="1"/>
  <c r="O15" i="53"/>
  <c r="N25" i="53"/>
  <c r="O25" i="53" s="1"/>
  <c r="J16" i="53"/>
  <c r="T18" i="53"/>
  <c r="AC18" i="53"/>
  <c r="AB17" i="46"/>
  <c r="AC17" i="46" s="1"/>
  <c r="X17" i="46"/>
  <c r="Y17" i="46" s="1"/>
  <c r="AB18" i="46"/>
  <c r="AC18" i="46" s="1"/>
  <c r="X18" i="46"/>
  <c r="Y18" i="46" s="1"/>
  <c r="X23" i="46"/>
  <c r="Y23" i="46" s="1"/>
  <c r="AB23" i="46"/>
  <c r="AC23" i="46" s="1"/>
  <c r="AB16" i="46"/>
  <c r="AC16" i="46" s="1"/>
  <c r="X16" i="46"/>
  <c r="Y16" i="46" s="1"/>
  <c r="X21" i="46"/>
  <c r="Y21" i="46" s="1"/>
  <c r="AB21" i="46"/>
  <c r="AC21" i="46" s="1"/>
  <c r="W14" i="46"/>
  <c r="AB14" i="46" s="1"/>
  <c r="AB15" i="46"/>
  <c r="AC15" i="46" s="1"/>
  <c r="X15" i="46"/>
  <c r="Y15" i="46" s="1"/>
  <c r="V14" i="46"/>
  <c r="X22" i="46"/>
  <c r="Y22" i="46" s="1"/>
  <c r="AB22" i="46"/>
  <c r="AC22" i="46" s="1"/>
  <c r="R29" i="53"/>
  <c r="R24" i="46"/>
  <c r="R25" i="46" s="1"/>
  <c r="R29" i="46" s="1"/>
  <c r="Q29" i="53"/>
  <c r="Q24" i="46"/>
  <c r="V24" i="46" s="1"/>
  <c r="AA29" i="53"/>
  <c r="X69" i="68"/>
  <c r="Y69" i="68" s="1"/>
  <c r="X27" i="68"/>
  <c r="Y27" i="68" s="1"/>
  <c r="X44" i="68"/>
  <c r="Y44" i="68" s="1"/>
  <c r="AB44" i="68"/>
  <c r="AC44" i="68" s="1"/>
  <c r="J41" i="68"/>
  <c r="M78" i="68"/>
  <c r="X64" i="68"/>
  <c r="Y64" i="68" s="1"/>
  <c r="X75" i="68"/>
  <c r="Y75" i="68" s="1"/>
  <c r="X48" i="68"/>
  <c r="Y48" i="68" s="1"/>
  <c r="X46" i="68"/>
  <c r="Y46" i="68" s="1"/>
  <c r="X74" i="68"/>
  <c r="Y74" i="68" s="1"/>
  <c r="X66" i="68"/>
  <c r="Y66" i="68" s="1"/>
  <c r="X63" i="68"/>
  <c r="Y63" i="68" s="1"/>
  <c r="X47" i="68"/>
  <c r="Y47" i="68" s="1"/>
  <c r="X45" i="68"/>
  <c r="Y45" i="68" s="1"/>
  <c r="X35" i="68"/>
  <c r="Y35" i="68" s="1"/>
  <c r="X33" i="68"/>
  <c r="Y33" i="68" s="1"/>
  <c r="V25" i="68"/>
  <c r="B72" i="69"/>
  <c r="D72" i="69"/>
  <c r="C72" i="69"/>
  <c r="B43" i="69"/>
  <c r="C43" i="69"/>
  <c r="D43" i="69"/>
  <c r="E72" i="69"/>
  <c r="Q78" i="67"/>
  <c r="Q79" i="67" s="1"/>
  <c r="Q81" i="67" s="1"/>
  <c r="Q83" i="67" s="1"/>
  <c r="AB82" i="59"/>
  <c r="AC82" i="59" s="1"/>
  <c r="H78" i="59"/>
  <c r="X39" i="48"/>
  <c r="Y39" i="48" s="1"/>
  <c r="X82" i="58"/>
  <c r="Y82" i="58" s="1"/>
  <c r="G79" i="58"/>
  <c r="G81" i="58" s="1"/>
  <c r="G83" i="58" s="1"/>
  <c r="I83" i="58" s="1"/>
  <c r="X40" i="68"/>
  <c r="Y40" i="68" s="1"/>
  <c r="X60" i="68"/>
  <c r="Y60" i="68" s="1"/>
  <c r="AB66" i="68"/>
  <c r="AC66" i="68" s="1"/>
  <c r="X53" i="68"/>
  <c r="Y53" i="68" s="1"/>
  <c r="X55" i="68"/>
  <c r="Y55" i="68" s="1"/>
  <c r="X70" i="68"/>
  <c r="Y70" i="68" s="1"/>
  <c r="AB82" i="68"/>
  <c r="AC82" i="68" s="1"/>
  <c r="X36" i="68"/>
  <c r="Y36" i="68" s="1"/>
  <c r="X65" i="68"/>
  <c r="Y65" i="68" s="1"/>
  <c r="N25" i="68"/>
  <c r="N29" i="68" s="1"/>
  <c r="O29" i="68" s="1"/>
  <c r="E41" i="68"/>
  <c r="X49" i="68"/>
  <c r="Y49" i="68" s="1"/>
  <c r="X52" i="68"/>
  <c r="Y52" i="68" s="1"/>
  <c r="AB53" i="68"/>
  <c r="AC53" i="68" s="1"/>
  <c r="AB70" i="68"/>
  <c r="AC70" i="68" s="1"/>
  <c r="O14" i="68"/>
  <c r="AB36" i="68"/>
  <c r="AC36" i="68" s="1"/>
  <c r="X72" i="68"/>
  <c r="Y72" i="68" s="1"/>
  <c r="V41" i="68"/>
  <c r="I16" i="68"/>
  <c r="J16" i="68" s="1"/>
  <c r="AB33" i="68"/>
  <c r="AC33" i="68" s="1"/>
  <c r="AB40" i="68"/>
  <c r="AC40" i="68" s="1"/>
  <c r="AB52" i="68"/>
  <c r="AC52" i="68" s="1"/>
  <c r="X62" i="68"/>
  <c r="Y62" i="68" s="1"/>
  <c r="V76" i="68"/>
  <c r="AB75" i="68"/>
  <c r="AC75" i="68" s="1"/>
  <c r="I21" i="68"/>
  <c r="J21" i="68" s="1"/>
  <c r="AB35" i="68"/>
  <c r="AC35" i="68" s="1"/>
  <c r="X61" i="68"/>
  <c r="Y61" i="68" s="1"/>
  <c r="AB63" i="68"/>
  <c r="AC63" i="68" s="1"/>
  <c r="AB64" i="68"/>
  <c r="AC64" i="68" s="1"/>
  <c r="AB65" i="68"/>
  <c r="AC65" i="68" s="1"/>
  <c r="X68" i="68"/>
  <c r="Y68" i="68" s="1"/>
  <c r="AB69" i="68"/>
  <c r="AC69" i="68" s="1"/>
  <c r="W76" i="68"/>
  <c r="X73" i="68"/>
  <c r="Y73" i="68" s="1"/>
  <c r="AB74" i="68"/>
  <c r="AC74" i="68" s="1"/>
  <c r="Q78" i="68"/>
  <c r="Q79" i="68" s="1"/>
  <c r="Q81" i="68" s="1"/>
  <c r="Q83" i="68" s="1"/>
  <c r="E25" i="68"/>
  <c r="R78" i="68"/>
  <c r="R79" i="68" s="1"/>
  <c r="R81" i="68" s="1"/>
  <c r="R83" i="68" s="1"/>
  <c r="I20" i="68"/>
  <c r="J20" i="68" s="1"/>
  <c r="G25" i="68"/>
  <c r="G29" i="68" s="1"/>
  <c r="X37" i="68"/>
  <c r="Y37" i="68" s="1"/>
  <c r="X58" i="68"/>
  <c r="Y58" i="68" s="1"/>
  <c r="X59" i="68"/>
  <c r="Y59" i="68" s="1"/>
  <c r="X67" i="68"/>
  <c r="Y67" i="68" s="1"/>
  <c r="X71" i="68"/>
  <c r="Y71" i="68" s="1"/>
  <c r="C78" i="68"/>
  <c r="C81" i="68" s="1"/>
  <c r="C83" i="68" s="1"/>
  <c r="H25" i="68"/>
  <c r="H29" i="68" s="1"/>
  <c r="T41" i="68"/>
  <c r="X50" i="68"/>
  <c r="Y50" i="68" s="1"/>
  <c r="X56" i="68"/>
  <c r="Y56" i="68" s="1"/>
  <c r="X57" i="68"/>
  <c r="Y57" i="68" s="1"/>
  <c r="AB60" i="68"/>
  <c r="AC60" i="68" s="1"/>
  <c r="AB72" i="68"/>
  <c r="AC72" i="68" s="1"/>
  <c r="G78" i="68"/>
  <c r="J14" i="68"/>
  <c r="AB37" i="68"/>
  <c r="AB58" i="68"/>
  <c r="AC58" i="68" s="1"/>
  <c r="AB59" i="68"/>
  <c r="AC59" i="68" s="1"/>
  <c r="AB67" i="68"/>
  <c r="AC67" i="68" s="1"/>
  <c r="AB71" i="68"/>
  <c r="AC71" i="68" s="1"/>
  <c r="H78" i="68"/>
  <c r="W41" i="68"/>
  <c r="J41" i="59"/>
  <c r="AA82" i="48"/>
  <c r="AB82" i="48" s="1"/>
  <c r="AC82" i="48" s="1"/>
  <c r="G78" i="48"/>
  <c r="G79" i="48" s="1"/>
  <c r="G81" i="48" s="1"/>
  <c r="G83" i="48" s="1"/>
  <c r="M29" i="52"/>
  <c r="L29" i="52"/>
  <c r="O15" i="52"/>
  <c r="N25" i="52"/>
  <c r="N29" i="52" s="1"/>
  <c r="H13" i="27"/>
  <c r="X37" i="48"/>
  <c r="X40" i="48"/>
  <c r="R78" i="61"/>
  <c r="AC44" i="45"/>
  <c r="M78" i="58"/>
  <c r="M79" i="58" s="1"/>
  <c r="M81" i="58" s="1"/>
  <c r="M83" i="58" s="1"/>
  <c r="X37" i="59"/>
  <c r="Y37" i="59" s="1"/>
  <c r="X38" i="59"/>
  <c r="Y38" i="59" s="1"/>
  <c r="X33" i="59"/>
  <c r="E43" i="60"/>
  <c r="H79" i="58"/>
  <c r="H81" i="58" s="1"/>
  <c r="H83" i="58" s="1"/>
  <c r="N25" i="58"/>
  <c r="N29" i="58" s="1"/>
  <c r="O29" i="58" s="1"/>
  <c r="C78" i="67"/>
  <c r="C79" i="67" s="1"/>
  <c r="C81" i="67" s="1"/>
  <c r="C83" i="67" s="1"/>
  <c r="X33" i="67"/>
  <c r="Y33" i="67" s="1"/>
  <c r="I25" i="67"/>
  <c r="J15" i="67"/>
  <c r="D25" i="67"/>
  <c r="D29" i="67" s="1"/>
  <c r="E29" i="67" s="1"/>
  <c r="L78" i="67"/>
  <c r="L79" i="67" s="1"/>
  <c r="L81" i="67" s="1"/>
  <c r="L83" i="67" s="1"/>
  <c r="AB38" i="67"/>
  <c r="AC38" i="67" s="1"/>
  <c r="X38" i="67"/>
  <c r="Y38" i="67" s="1"/>
  <c r="AB34" i="67"/>
  <c r="AC34" i="67" s="1"/>
  <c r="X34" i="67"/>
  <c r="Y34" i="67" s="1"/>
  <c r="AB37" i="67"/>
  <c r="AC37" i="67" s="1"/>
  <c r="X37" i="67"/>
  <c r="Y37" i="67" s="1"/>
  <c r="X40" i="67"/>
  <c r="Y40" i="67" s="1"/>
  <c r="AB35" i="67"/>
  <c r="AC35" i="67" s="1"/>
  <c r="X35" i="67"/>
  <c r="AB39" i="67"/>
  <c r="AC39" i="67" s="1"/>
  <c r="X39" i="67"/>
  <c r="Y39" i="67" s="1"/>
  <c r="C43" i="66"/>
  <c r="AC37" i="53"/>
  <c r="X37" i="53"/>
  <c r="AC39" i="53"/>
  <c r="X39" i="53"/>
  <c r="Y39" i="53" s="1"/>
  <c r="AC34" i="53"/>
  <c r="X34" i="53"/>
  <c r="Y34" i="53" s="1"/>
  <c r="AC38" i="53"/>
  <c r="X38" i="53"/>
  <c r="Y38" i="53" s="1"/>
  <c r="AC36" i="53"/>
  <c r="X36" i="53"/>
  <c r="AC40" i="53"/>
  <c r="X40" i="53"/>
  <c r="Y40" i="53" s="1"/>
  <c r="S25" i="58"/>
  <c r="T25" i="58" s="1"/>
  <c r="Q78" i="58"/>
  <c r="Q79" i="58" s="1"/>
  <c r="Q81" i="58" s="1"/>
  <c r="Q83" i="58" s="1"/>
  <c r="B78" i="59"/>
  <c r="B79" i="59" s="1"/>
  <c r="B81" i="59" s="1"/>
  <c r="B83" i="59" s="1"/>
  <c r="X36" i="59"/>
  <c r="X35" i="59"/>
  <c r="Y35" i="59" s="1"/>
  <c r="X39" i="59"/>
  <c r="Y39" i="59" s="1"/>
  <c r="X36" i="48"/>
  <c r="Y36" i="48" s="1"/>
  <c r="X35" i="48"/>
  <c r="Y35" i="48" s="1"/>
  <c r="X33" i="48"/>
  <c r="V76" i="48"/>
  <c r="X44" i="48"/>
  <c r="Y44" i="48" s="1"/>
  <c r="X38" i="48"/>
  <c r="Y38" i="48" s="1"/>
  <c r="AC34" i="48"/>
  <c r="X34" i="48"/>
  <c r="Y34" i="48" s="1"/>
  <c r="B29" i="52"/>
  <c r="B79" i="52"/>
  <c r="B81" i="52" s="1"/>
  <c r="B83" i="52" s="1"/>
  <c r="C29" i="52"/>
  <c r="C79" i="52"/>
  <c r="C81" i="52" s="1"/>
  <c r="C83" i="52" s="1"/>
  <c r="AB46" i="52"/>
  <c r="AC46" i="52" s="1"/>
  <c r="X46" i="52"/>
  <c r="Y46" i="52" s="1"/>
  <c r="AB72" i="52"/>
  <c r="AC72" i="52" s="1"/>
  <c r="X72" i="52"/>
  <c r="Y72" i="52" s="1"/>
  <c r="AB69" i="52"/>
  <c r="AC69" i="52" s="1"/>
  <c r="X69" i="52"/>
  <c r="Y69" i="52" s="1"/>
  <c r="AB59" i="52"/>
  <c r="AC59" i="52" s="1"/>
  <c r="X59" i="52"/>
  <c r="Y59" i="52" s="1"/>
  <c r="AB71" i="52"/>
  <c r="AC71" i="52" s="1"/>
  <c r="X71" i="52"/>
  <c r="Y71" i="52" s="1"/>
  <c r="AB73" i="52"/>
  <c r="AC73" i="52" s="1"/>
  <c r="X73" i="52"/>
  <c r="Y73" i="52" s="1"/>
  <c r="AB61" i="52"/>
  <c r="AC61" i="52" s="1"/>
  <c r="X61" i="52"/>
  <c r="Y61" i="52" s="1"/>
  <c r="AB75" i="52"/>
  <c r="AC75" i="52" s="1"/>
  <c r="X75" i="52"/>
  <c r="Y75" i="52" s="1"/>
  <c r="AB55" i="52"/>
  <c r="AC55" i="52" s="1"/>
  <c r="X55" i="52"/>
  <c r="Y55" i="52" s="1"/>
  <c r="AB60" i="52"/>
  <c r="AC60" i="52" s="1"/>
  <c r="X60" i="52"/>
  <c r="Y60" i="52" s="1"/>
  <c r="AB74" i="52"/>
  <c r="AC74" i="52" s="1"/>
  <c r="X74" i="52"/>
  <c r="Y74" i="52" s="1"/>
  <c r="AB48" i="52"/>
  <c r="AC48" i="52" s="1"/>
  <c r="X48" i="52"/>
  <c r="Y48" i="52" s="1"/>
  <c r="AB58" i="52"/>
  <c r="AC58" i="52" s="1"/>
  <c r="X58" i="52"/>
  <c r="Y58" i="52" s="1"/>
  <c r="AB70" i="52"/>
  <c r="AC70" i="52" s="1"/>
  <c r="X70" i="52"/>
  <c r="Y70" i="52" s="1"/>
  <c r="C78" i="61"/>
  <c r="C79" i="61" s="1"/>
  <c r="C81" i="61" s="1"/>
  <c r="C83" i="61" s="1"/>
  <c r="S78" i="61"/>
  <c r="S79" i="61" s="1"/>
  <c r="S81" i="61" s="1"/>
  <c r="S83" i="61" s="1"/>
  <c r="R29" i="61"/>
  <c r="R79" i="61"/>
  <c r="R81" i="61" s="1"/>
  <c r="R83" i="61" s="1"/>
  <c r="M79" i="61"/>
  <c r="M81" i="61" s="1"/>
  <c r="M83" i="61" s="1"/>
  <c r="H81" i="45"/>
  <c r="H83" i="45" s="1"/>
  <c r="B29" i="45"/>
  <c r="Y47" i="53"/>
  <c r="X82" i="53"/>
  <c r="Y82" i="53" s="1"/>
  <c r="AB34" i="52"/>
  <c r="AC34" i="52" s="1"/>
  <c r="AB40" i="52"/>
  <c r="AC40" i="52" s="1"/>
  <c r="AB39" i="52"/>
  <c r="AC39" i="52" s="1"/>
  <c r="N78" i="68"/>
  <c r="O41" i="68"/>
  <c r="O76" i="68"/>
  <c r="Y34" i="68"/>
  <c r="Y51" i="68"/>
  <c r="S78" i="68"/>
  <c r="T76" i="68"/>
  <c r="I78" i="68"/>
  <c r="J76" i="68"/>
  <c r="E78" i="68"/>
  <c r="D76" i="67"/>
  <c r="E76" i="67" s="1"/>
  <c r="N76" i="67"/>
  <c r="O76" i="67" s="1"/>
  <c r="R78" i="67"/>
  <c r="R79" i="67" s="1"/>
  <c r="R81" i="67" s="1"/>
  <c r="R83" i="67" s="1"/>
  <c r="S76" i="67"/>
  <c r="T76" i="67" s="1"/>
  <c r="S41" i="67"/>
  <c r="T41" i="67" s="1"/>
  <c r="N41" i="67"/>
  <c r="O41" i="67" s="1"/>
  <c r="M78" i="67"/>
  <c r="M79" i="67" s="1"/>
  <c r="M81" i="67" s="1"/>
  <c r="M83" i="67" s="1"/>
  <c r="W41" i="67"/>
  <c r="W78" i="67" s="1"/>
  <c r="S25" i="67"/>
  <c r="T25" i="67" s="1"/>
  <c r="N29" i="67"/>
  <c r="O29" i="67" s="1"/>
  <c r="L78" i="58"/>
  <c r="L79" i="58" s="1"/>
  <c r="L81" i="58" s="1"/>
  <c r="L83" i="58" s="1"/>
  <c r="I25" i="58"/>
  <c r="J25" i="58" s="1"/>
  <c r="B79" i="58"/>
  <c r="B81" i="58" s="1"/>
  <c r="B83" i="58" s="1"/>
  <c r="C79" i="58"/>
  <c r="C81" i="58" s="1"/>
  <c r="C83" i="58" s="1"/>
  <c r="D25" i="58"/>
  <c r="D29" i="58" s="1"/>
  <c r="E29" i="58" s="1"/>
  <c r="I76" i="58"/>
  <c r="J76" i="58" s="1"/>
  <c r="D76" i="58"/>
  <c r="E76" i="58" s="1"/>
  <c r="M78" i="59"/>
  <c r="M79" i="59" s="1"/>
  <c r="M81" i="59" s="1"/>
  <c r="M83" i="59" s="1"/>
  <c r="L78" i="59"/>
  <c r="L79" i="59" s="1"/>
  <c r="L81" i="59" s="1"/>
  <c r="L83" i="59" s="1"/>
  <c r="I76" i="59"/>
  <c r="J76" i="59" s="1"/>
  <c r="R78" i="48"/>
  <c r="R79" i="48" s="1"/>
  <c r="Q78" i="48"/>
  <c r="Q79" i="48" s="1"/>
  <c r="Q81" i="48" s="1"/>
  <c r="Q83" i="48" s="1"/>
  <c r="J76" i="55"/>
  <c r="O44" i="55"/>
  <c r="X82" i="55"/>
  <c r="Y82" i="55" s="1"/>
  <c r="AB82" i="55"/>
  <c r="AC82" i="55" s="1"/>
  <c r="B78" i="55"/>
  <c r="B79" i="55" s="1"/>
  <c r="M78" i="55"/>
  <c r="M79" i="55" s="1"/>
  <c r="M81" i="55" s="1"/>
  <c r="M83" i="55" s="1"/>
  <c r="X27" i="45"/>
  <c r="W29" i="45"/>
  <c r="R78" i="59"/>
  <c r="R79" i="59" s="1"/>
  <c r="R81" i="59" s="1"/>
  <c r="R83" i="59" s="1"/>
  <c r="Q78" i="59"/>
  <c r="Q79" i="59" s="1"/>
  <c r="Q81" i="59" s="1"/>
  <c r="Q83" i="59" s="1"/>
  <c r="T76" i="59"/>
  <c r="AC36" i="48"/>
  <c r="R29" i="48"/>
  <c r="AC38" i="48"/>
  <c r="O41" i="48"/>
  <c r="S76" i="48"/>
  <c r="T76" i="48" s="1"/>
  <c r="H78" i="48"/>
  <c r="H79" i="48" s="1"/>
  <c r="H81" i="48" s="1"/>
  <c r="H83" i="48" s="1"/>
  <c r="B78" i="48"/>
  <c r="B79" i="48" s="1"/>
  <c r="B81" i="48" s="1"/>
  <c r="B83" i="48" s="1"/>
  <c r="C78" i="48"/>
  <c r="C79" i="48" s="1"/>
  <c r="C81" i="48" s="1"/>
  <c r="C83" i="48" s="1"/>
  <c r="X27" i="48"/>
  <c r="AC35" i="48"/>
  <c r="I41" i="48"/>
  <c r="J41" i="48" s="1"/>
  <c r="AC39" i="48"/>
  <c r="AC40" i="48"/>
  <c r="AC37" i="48"/>
  <c r="I25" i="48"/>
  <c r="I29" i="48" s="1"/>
  <c r="J29" i="48" s="1"/>
  <c r="C72" i="40"/>
  <c r="S25" i="68"/>
  <c r="T25" i="68" s="1"/>
  <c r="V29" i="68"/>
  <c r="Y14" i="68"/>
  <c r="X16" i="68"/>
  <c r="Y16" i="68" s="1"/>
  <c r="X24" i="68"/>
  <c r="Y24" i="68" s="1"/>
  <c r="T14" i="68"/>
  <c r="X15" i="68"/>
  <c r="Y15" i="68" s="1"/>
  <c r="X20" i="68"/>
  <c r="Y20" i="68" s="1"/>
  <c r="W25" i="68"/>
  <c r="X17" i="68"/>
  <c r="Y17" i="68" s="1"/>
  <c r="Y44" i="67"/>
  <c r="AB50" i="67"/>
  <c r="AC50" i="67" s="1"/>
  <c r="Y58" i="67"/>
  <c r="Y67" i="67"/>
  <c r="T14" i="67"/>
  <c r="AB44" i="67"/>
  <c r="AC44" i="67" s="1"/>
  <c r="AB47" i="67"/>
  <c r="AC47" i="67" s="1"/>
  <c r="Y53" i="67"/>
  <c r="I76" i="67"/>
  <c r="J76" i="67" s="1"/>
  <c r="Y55" i="67"/>
  <c r="AB58" i="67"/>
  <c r="AC58" i="67" s="1"/>
  <c r="AB67" i="67"/>
  <c r="AC67" i="67" s="1"/>
  <c r="Y74" i="67"/>
  <c r="AB53" i="67"/>
  <c r="AC53" i="67" s="1"/>
  <c r="Y59" i="67"/>
  <c r="Y64" i="67"/>
  <c r="Y75" i="67"/>
  <c r="Y61" i="67"/>
  <c r="Y49" i="67"/>
  <c r="Y72" i="67"/>
  <c r="Y56" i="67"/>
  <c r="AB59" i="67"/>
  <c r="AC59" i="67" s="1"/>
  <c r="AB64" i="67"/>
  <c r="AC64" i="67" s="1"/>
  <c r="AB75" i="67"/>
  <c r="AC75" i="67" s="1"/>
  <c r="Y62" i="67"/>
  <c r="G78" i="67"/>
  <c r="G79" i="67" s="1"/>
  <c r="G81" i="67" s="1"/>
  <c r="G83" i="67" s="1"/>
  <c r="AB62" i="67"/>
  <c r="AC62" i="67" s="1"/>
  <c r="H78" i="67"/>
  <c r="H79" i="67" s="1"/>
  <c r="H81" i="67" s="1"/>
  <c r="H83" i="67" s="1"/>
  <c r="Y52" i="67"/>
  <c r="Y66" i="67"/>
  <c r="Y70" i="67"/>
  <c r="Y46" i="67"/>
  <c r="Y60" i="67"/>
  <c r="AB72" i="67"/>
  <c r="AC72" i="67" s="1"/>
  <c r="Y69" i="67"/>
  <c r="AB52" i="67"/>
  <c r="AC52" i="67" s="1"/>
  <c r="Y57" i="67"/>
  <c r="AB61" i="67"/>
  <c r="AC61" i="67" s="1"/>
  <c r="AB63" i="67"/>
  <c r="AC63" i="67" s="1"/>
  <c r="Y45" i="67"/>
  <c r="Y48" i="67"/>
  <c r="AB49" i="67"/>
  <c r="AC49" i="67" s="1"/>
  <c r="Y65" i="67"/>
  <c r="AB66" i="67"/>
  <c r="AC66" i="67" s="1"/>
  <c r="Y68" i="67"/>
  <c r="Y71" i="67"/>
  <c r="Y73" i="67"/>
  <c r="AB74" i="67"/>
  <c r="AC74" i="67" s="1"/>
  <c r="E44" i="67"/>
  <c r="O33" i="67"/>
  <c r="V41" i="67"/>
  <c r="V78" i="67" s="1"/>
  <c r="J41" i="67"/>
  <c r="AB40" i="67"/>
  <c r="AC40" i="67" s="1"/>
  <c r="E41" i="67"/>
  <c r="Y36" i="67"/>
  <c r="AB33" i="67"/>
  <c r="Y35" i="67"/>
  <c r="O14" i="67"/>
  <c r="X17" i="67"/>
  <c r="Y17" i="67" s="1"/>
  <c r="X14" i="67"/>
  <c r="Y14" i="67" s="1"/>
  <c r="X20" i="67"/>
  <c r="Y20" i="67" s="1"/>
  <c r="W25" i="67"/>
  <c r="W29" i="67" s="1"/>
  <c r="AB29" i="67" s="1"/>
  <c r="AC29" i="67" s="1"/>
  <c r="V25" i="67"/>
  <c r="V29" i="67" s="1"/>
  <c r="X16" i="67"/>
  <c r="Y16" i="67" s="1"/>
  <c r="X24" i="67"/>
  <c r="Y24" i="67" s="1"/>
  <c r="AC14" i="67"/>
  <c r="AC17" i="67"/>
  <c r="X21" i="67"/>
  <c r="Y21" i="67" s="1"/>
  <c r="AC21" i="67"/>
  <c r="X18" i="67"/>
  <c r="Y18" i="67" s="1"/>
  <c r="X15" i="67"/>
  <c r="Y15" i="67" s="1"/>
  <c r="X22" i="67"/>
  <c r="Y22" i="67" s="1"/>
  <c r="X23" i="67"/>
  <c r="Y23" i="67" s="1"/>
  <c r="AC23" i="67"/>
  <c r="E14" i="67"/>
  <c r="C72" i="66"/>
  <c r="E72" i="66"/>
  <c r="F72" i="66"/>
  <c r="L22" i="27"/>
  <c r="L27" i="27"/>
  <c r="L18" i="27"/>
  <c r="F43" i="66"/>
  <c r="L14" i="27" s="1"/>
  <c r="L15" i="27" s="1"/>
  <c r="D43" i="66"/>
  <c r="L21" i="27"/>
  <c r="L25" i="27"/>
  <c r="D41" i="53"/>
  <c r="E41" i="53" s="1"/>
  <c r="AA79" i="58"/>
  <c r="AA81" i="58" s="1"/>
  <c r="AA83" i="58" s="1"/>
  <c r="S76" i="58"/>
  <c r="T76" i="58" s="1"/>
  <c r="R78" i="58"/>
  <c r="R79" i="58" s="1"/>
  <c r="R81" i="58" s="1"/>
  <c r="R83" i="58" s="1"/>
  <c r="Y49" i="58"/>
  <c r="Y57" i="58"/>
  <c r="T41" i="58"/>
  <c r="Y36" i="58"/>
  <c r="X16" i="58"/>
  <c r="Y16" i="58" s="1"/>
  <c r="Y61" i="58"/>
  <c r="Y62" i="58"/>
  <c r="AB57" i="58"/>
  <c r="AC57" i="58" s="1"/>
  <c r="N76" i="58"/>
  <c r="O76" i="58" s="1"/>
  <c r="Y71" i="58"/>
  <c r="V76" i="58"/>
  <c r="Y75" i="58"/>
  <c r="Y45" i="58"/>
  <c r="Y53" i="58"/>
  <c r="Y72" i="58"/>
  <c r="J44" i="58"/>
  <c r="Y63" i="58"/>
  <c r="Y67" i="58"/>
  <c r="AB71" i="58"/>
  <c r="AC71" i="58" s="1"/>
  <c r="AB53" i="58"/>
  <c r="AC53" i="58" s="1"/>
  <c r="AB75" i="58"/>
  <c r="AC75" i="58" s="1"/>
  <c r="AB62" i="58"/>
  <c r="AC62" i="58" s="1"/>
  <c r="Y68" i="58"/>
  <c r="AB72" i="58"/>
  <c r="AC72" i="58" s="1"/>
  <c r="Y58" i="58"/>
  <c r="Y46" i="58"/>
  <c r="Y50" i="58"/>
  <c r="AB68" i="58"/>
  <c r="AC68" i="58" s="1"/>
  <c r="Y74" i="58"/>
  <c r="AC44" i="58"/>
  <c r="E44" i="58"/>
  <c r="Y48" i="58"/>
  <c r="Y52" i="58"/>
  <c r="Y60" i="58"/>
  <c r="Y66" i="58"/>
  <c r="Y70" i="58"/>
  <c r="Y73" i="58"/>
  <c r="Y56" i="58"/>
  <c r="AB61" i="58"/>
  <c r="AC61" i="58" s="1"/>
  <c r="Y65" i="58"/>
  <c r="W76" i="58"/>
  <c r="Y47" i="58"/>
  <c r="Y59" i="58"/>
  <c r="Y64" i="58"/>
  <c r="Y69" i="58"/>
  <c r="O41" i="58"/>
  <c r="O33" i="58"/>
  <c r="I41" i="58"/>
  <c r="J41" i="58" s="1"/>
  <c r="AB35" i="58"/>
  <c r="AC35" i="58" s="1"/>
  <c r="V41" i="58"/>
  <c r="Y38" i="58"/>
  <c r="Y33" i="58"/>
  <c r="AC33" i="58"/>
  <c r="W41" i="58"/>
  <c r="D41" i="58"/>
  <c r="E41" i="58" s="1"/>
  <c r="Y37" i="58"/>
  <c r="AB38" i="58"/>
  <c r="AC38" i="58" s="1"/>
  <c r="Y40" i="58"/>
  <c r="M29" i="58"/>
  <c r="J15" i="58"/>
  <c r="AB16" i="58"/>
  <c r="AC16" i="58" s="1"/>
  <c r="V25" i="58"/>
  <c r="V29" i="58" s="1"/>
  <c r="X15" i="58"/>
  <c r="Y15" i="58" s="1"/>
  <c r="AC15" i="58"/>
  <c r="E15" i="58"/>
  <c r="W25" i="58"/>
  <c r="S41" i="59"/>
  <c r="S78" i="59" s="1"/>
  <c r="S79" i="59" s="1"/>
  <c r="N76" i="59"/>
  <c r="O76" i="59" s="1"/>
  <c r="Y70" i="59"/>
  <c r="Y53" i="59"/>
  <c r="Y57" i="59"/>
  <c r="Y65" i="59"/>
  <c r="Y63" i="59"/>
  <c r="AB65" i="59"/>
  <c r="AC65" i="59" s="1"/>
  <c r="AB72" i="59"/>
  <c r="AC72" i="59" s="1"/>
  <c r="G78" i="59"/>
  <c r="G79" i="59" s="1"/>
  <c r="G81" i="59" s="1"/>
  <c r="G83" i="59" s="1"/>
  <c r="Y52" i="59"/>
  <c r="Y48" i="59"/>
  <c r="Y47" i="59"/>
  <c r="AB48" i="59"/>
  <c r="AC48" i="59" s="1"/>
  <c r="AB53" i="59"/>
  <c r="AC53" i="59" s="1"/>
  <c r="Y64" i="59"/>
  <c r="AB47" i="59"/>
  <c r="AC47" i="59" s="1"/>
  <c r="Y72" i="59"/>
  <c r="Y71" i="59"/>
  <c r="AB68" i="59"/>
  <c r="AC68" i="59" s="1"/>
  <c r="AB69" i="59"/>
  <c r="AC69" i="59" s="1"/>
  <c r="AB70" i="59"/>
  <c r="AC70" i="59" s="1"/>
  <c r="AB71" i="59"/>
  <c r="AC71" i="59" s="1"/>
  <c r="AB73" i="59"/>
  <c r="AC73" i="59" s="1"/>
  <c r="C78" i="59"/>
  <c r="C79" i="59" s="1"/>
  <c r="C81" i="59" s="1"/>
  <c r="C83" i="59" s="1"/>
  <c r="AA76" i="59"/>
  <c r="Y46" i="59"/>
  <c r="Y56" i="59"/>
  <c r="D76" i="59"/>
  <c r="E76" i="59" s="1"/>
  <c r="AB46" i="59"/>
  <c r="AC46" i="59" s="1"/>
  <c r="AB56" i="59"/>
  <c r="AC56" i="59" s="1"/>
  <c r="Y58" i="59"/>
  <c r="Y62" i="59"/>
  <c r="E45" i="59"/>
  <c r="AB57" i="59"/>
  <c r="AC57" i="59" s="1"/>
  <c r="AB62" i="59"/>
  <c r="AC62" i="59" s="1"/>
  <c r="Y68" i="59"/>
  <c r="Y73" i="59"/>
  <c r="AB63" i="59"/>
  <c r="AC63" i="59" s="1"/>
  <c r="AB52" i="59"/>
  <c r="AC52" i="59" s="1"/>
  <c r="AB64" i="59"/>
  <c r="AC64" i="59" s="1"/>
  <c r="Y74" i="59"/>
  <c r="AB54" i="46"/>
  <c r="AC54" i="46" s="1"/>
  <c r="AB74" i="59"/>
  <c r="AC74" i="59" s="1"/>
  <c r="O33" i="59"/>
  <c r="J33" i="59"/>
  <c r="H79" i="59"/>
  <c r="H81" i="59" s="1"/>
  <c r="H83" i="59" s="1"/>
  <c r="AC33" i="59"/>
  <c r="AB38" i="59"/>
  <c r="AC38" i="59" s="1"/>
  <c r="AB37" i="59"/>
  <c r="AC37" i="59" s="1"/>
  <c r="AB39" i="59"/>
  <c r="AC39" i="59" s="1"/>
  <c r="AA41" i="59"/>
  <c r="AB34" i="59"/>
  <c r="AC34" i="59" s="1"/>
  <c r="Y34" i="59"/>
  <c r="Y17" i="59"/>
  <c r="Y19" i="59"/>
  <c r="Y16" i="59"/>
  <c r="Y21" i="59"/>
  <c r="AB20" i="59"/>
  <c r="AC20" i="59" s="1"/>
  <c r="AB21" i="59"/>
  <c r="AC21" i="59" s="1"/>
  <c r="Y23" i="59"/>
  <c r="AB19" i="59"/>
  <c r="AC19" i="59" s="1"/>
  <c r="AC23" i="59"/>
  <c r="Y20" i="59"/>
  <c r="G29" i="59"/>
  <c r="J25" i="59"/>
  <c r="H29" i="59"/>
  <c r="W29" i="59"/>
  <c r="AB17" i="59"/>
  <c r="AC17" i="59" s="1"/>
  <c r="V29" i="59"/>
  <c r="AA29" i="59"/>
  <c r="AB15" i="59"/>
  <c r="AC15" i="59" s="1"/>
  <c r="AA78" i="48"/>
  <c r="AA79" i="48" s="1"/>
  <c r="AA81" i="48" s="1"/>
  <c r="N76" i="48"/>
  <c r="O76" i="48" s="1"/>
  <c r="I76" i="48"/>
  <c r="J76" i="48" s="1"/>
  <c r="D76" i="48"/>
  <c r="E76" i="48" s="1"/>
  <c r="O33" i="48"/>
  <c r="L79" i="48"/>
  <c r="L81" i="48" s="1"/>
  <c r="L83" i="48" s="1"/>
  <c r="M79" i="48"/>
  <c r="M81" i="48" s="1"/>
  <c r="M83" i="48" s="1"/>
  <c r="J36" i="48"/>
  <c r="D41" i="48"/>
  <c r="V41" i="48"/>
  <c r="L29" i="48"/>
  <c r="M29" i="48"/>
  <c r="N25" i="48"/>
  <c r="O25" i="48" s="1"/>
  <c r="O14" i="48"/>
  <c r="J14" i="48"/>
  <c r="X14" i="48"/>
  <c r="Y14" i="48" s="1"/>
  <c r="D25" i="48"/>
  <c r="T44" i="48"/>
  <c r="AC33" i="48"/>
  <c r="Y37" i="48"/>
  <c r="Y40" i="48"/>
  <c r="W41" i="48"/>
  <c r="W78" i="48" s="1"/>
  <c r="S41" i="48"/>
  <c r="Y15" i="48"/>
  <c r="V25" i="48"/>
  <c r="V29" i="48" s="1"/>
  <c r="Q29" i="48"/>
  <c r="AC15" i="48"/>
  <c r="S25" i="48"/>
  <c r="AC14" i="48"/>
  <c r="W25" i="48"/>
  <c r="W29" i="48" s="1"/>
  <c r="AB29" i="48" s="1"/>
  <c r="AC29" i="48" s="1"/>
  <c r="B72" i="47"/>
  <c r="D72" i="47"/>
  <c r="F72" i="47"/>
  <c r="G22" i="27"/>
  <c r="G18" i="27"/>
  <c r="G27" i="27"/>
  <c r="C72" i="47"/>
  <c r="E72" i="47"/>
  <c r="I25" i="52"/>
  <c r="I29" i="52" s="1"/>
  <c r="J29" i="52" s="1"/>
  <c r="G78" i="55"/>
  <c r="G79" i="55" s="1"/>
  <c r="G81" i="55" s="1"/>
  <c r="G83" i="55" s="1"/>
  <c r="C78" i="55"/>
  <c r="C79" i="55" s="1"/>
  <c r="C81" i="55" s="1"/>
  <c r="C83" i="55" s="1"/>
  <c r="N41" i="55"/>
  <c r="O41" i="55" s="1"/>
  <c r="Y76" i="45"/>
  <c r="AB61" i="45"/>
  <c r="AC61" i="45" s="1"/>
  <c r="R78" i="45"/>
  <c r="R79" i="45" s="1"/>
  <c r="R81" i="45" s="1"/>
  <c r="R83" i="45" s="1"/>
  <c r="N41" i="45"/>
  <c r="O41" i="45" s="1"/>
  <c r="O33" i="45"/>
  <c r="I76" i="45"/>
  <c r="J76" i="45" s="1"/>
  <c r="I76" i="61"/>
  <c r="J76" i="61" s="1"/>
  <c r="I41" i="55"/>
  <c r="J41" i="55" s="1"/>
  <c r="N29" i="55"/>
  <c r="O14" i="55"/>
  <c r="D25" i="45"/>
  <c r="E25" i="45" s="1"/>
  <c r="D41" i="45"/>
  <c r="E41" i="45" s="1"/>
  <c r="B78" i="45"/>
  <c r="B79" i="45" s="1"/>
  <c r="C78" i="45"/>
  <c r="C79" i="45" s="1"/>
  <c r="C81" i="45" s="1"/>
  <c r="C83" i="45" s="1"/>
  <c r="D76" i="45"/>
  <c r="E76" i="45" s="1"/>
  <c r="J44" i="45"/>
  <c r="I41" i="45"/>
  <c r="G79" i="45"/>
  <c r="G81" i="45" s="1"/>
  <c r="G83" i="45" s="1"/>
  <c r="M78" i="45"/>
  <c r="M79" i="45" s="1"/>
  <c r="M81" i="45" s="1"/>
  <c r="M83" i="45" s="1"/>
  <c r="N76" i="45"/>
  <c r="O76" i="45" s="1"/>
  <c r="L78" i="45"/>
  <c r="L79" i="45" s="1"/>
  <c r="L81" i="45" s="1"/>
  <c r="L83" i="45" s="1"/>
  <c r="N25" i="45"/>
  <c r="O25" i="45" s="1"/>
  <c r="G29" i="45"/>
  <c r="C29" i="45"/>
  <c r="I25" i="45"/>
  <c r="H29" i="45"/>
  <c r="O20" i="45"/>
  <c r="L29" i="45"/>
  <c r="M29" i="45"/>
  <c r="D25" i="52"/>
  <c r="E25" i="52" s="1"/>
  <c r="X27" i="52"/>
  <c r="S25" i="52"/>
  <c r="S29" i="52" s="1"/>
  <c r="T29" i="52" s="1"/>
  <c r="AA79" i="52"/>
  <c r="V25" i="52"/>
  <c r="V29" i="52" s="1"/>
  <c r="AA29" i="52"/>
  <c r="X82" i="52"/>
  <c r="Y82" i="52" s="1"/>
  <c r="D41" i="52"/>
  <c r="J14" i="52"/>
  <c r="O14" i="52"/>
  <c r="E33" i="52"/>
  <c r="AB25" i="52"/>
  <c r="AC14" i="52"/>
  <c r="W25" i="52"/>
  <c r="W29" i="52" s="1"/>
  <c r="Y15" i="52"/>
  <c r="Y16" i="52"/>
  <c r="Y17" i="52"/>
  <c r="Y18" i="52"/>
  <c r="Y20" i="52"/>
  <c r="Y21" i="52"/>
  <c r="Y22" i="52"/>
  <c r="Y23" i="52"/>
  <c r="Y24" i="52"/>
  <c r="X27" i="61"/>
  <c r="V27" i="46"/>
  <c r="I25" i="61"/>
  <c r="J25" i="61" s="1"/>
  <c r="T76" i="61"/>
  <c r="AB25" i="61"/>
  <c r="AC25" i="61" s="1"/>
  <c r="AA79" i="61"/>
  <c r="AA81" i="61" s="1"/>
  <c r="AA83" i="61" s="1"/>
  <c r="I41" i="61"/>
  <c r="B79" i="61"/>
  <c r="B81" i="61" s="1"/>
  <c r="B83" i="61" s="1"/>
  <c r="G78" i="61"/>
  <c r="G79" i="61" s="1"/>
  <c r="G81" i="61" s="1"/>
  <c r="G83" i="61" s="1"/>
  <c r="L78" i="61"/>
  <c r="Q78" i="61"/>
  <c r="E76" i="61"/>
  <c r="N25" i="61"/>
  <c r="N29" i="61" s="1"/>
  <c r="AA29" i="61"/>
  <c r="J33" i="61"/>
  <c r="O33" i="61"/>
  <c r="E44" i="61"/>
  <c r="X82" i="61"/>
  <c r="Y82" i="61" s="1"/>
  <c r="Y76" i="61"/>
  <c r="D25" i="61"/>
  <c r="E25" i="61" s="1"/>
  <c r="D41" i="61"/>
  <c r="E41" i="61" s="1"/>
  <c r="H78" i="61"/>
  <c r="H79" i="61" s="1"/>
  <c r="H81" i="61" s="1"/>
  <c r="H83" i="61" s="1"/>
  <c r="J44" i="61"/>
  <c r="O41" i="61"/>
  <c r="L29" i="61"/>
  <c r="M29" i="61"/>
  <c r="J14" i="61"/>
  <c r="G29" i="61"/>
  <c r="B29" i="61"/>
  <c r="C29" i="61"/>
  <c r="E67" i="52"/>
  <c r="W76" i="55"/>
  <c r="Y34" i="61"/>
  <c r="Y35" i="61"/>
  <c r="Y37" i="61"/>
  <c r="Y39" i="61"/>
  <c r="T41" i="61"/>
  <c r="W29" i="61"/>
  <c r="V79" i="61"/>
  <c r="V81" i="61" s="1"/>
  <c r="V83" i="61" s="1"/>
  <c r="V29" i="61"/>
  <c r="Q29" i="61"/>
  <c r="S29" i="61"/>
  <c r="T25" i="61"/>
  <c r="Q78" i="45"/>
  <c r="Q79" i="45" s="1"/>
  <c r="Q81" i="45" s="1"/>
  <c r="Q83" i="45" s="1"/>
  <c r="S78" i="45"/>
  <c r="S79" i="45" s="1"/>
  <c r="W78" i="45"/>
  <c r="W79" i="45" s="1"/>
  <c r="AC18" i="45"/>
  <c r="AC21" i="45"/>
  <c r="AC23" i="45"/>
  <c r="AA25" i="45"/>
  <c r="AA29" i="45" s="1"/>
  <c r="AC16" i="45"/>
  <c r="AC20" i="45"/>
  <c r="AC22" i="45"/>
  <c r="AC24" i="45"/>
  <c r="T29" i="45"/>
  <c r="Y16" i="45"/>
  <c r="V25" i="45"/>
  <c r="V29" i="45" s="1"/>
  <c r="Y15" i="45"/>
  <c r="T25" i="45"/>
  <c r="AB34" i="45"/>
  <c r="AC34" i="45" s="1"/>
  <c r="AB36" i="45"/>
  <c r="AC36" i="45" s="1"/>
  <c r="AB38" i="45"/>
  <c r="AC38" i="45" s="1"/>
  <c r="AB35" i="45"/>
  <c r="AC35" i="45" s="1"/>
  <c r="AB37" i="45"/>
  <c r="AC37" i="45" s="1"/>
  <c r="AB39" i="45"/>
  <c r="AC39" i="45" s="1"/>
  <c r="Y34" i="45"/>
  <c r="Y35" i="45"/>
  <c r="Y36" i="45"/>
  <c r="Y37" i="45"/>
  <c r="Y38" i="45"/>
  <c r="Y39" i="45"/>
  <c r="T41" i="45"/>
  <c r="D72" i="57"/>
  <c r="C72" i="60"/>
  <c r="E72" i="60"/>
  <c r="D72" i="60"/>
  <c r="F72" i="60"/>
  <c r="C43" i="47"/>
  <c r="E43" i="47"/>
  <c r="G25" i="27"/>
  <c r="G21" i="27"/>
  <c r="G72" i="40"/>
  <c r="G34" i="27"/>
  <c r="F57" i="40"/>
  <c r="X56" i="52"/>
  <c r="J56" i="52"/>
  <c r="J57" i="52"/>
  <c r="J62" i="52"/>
  <c r="H37" i="46"/>
  <c r="W37" i="46" s="1"/>
  <c r="B62" i="46"/>
  <c r="D62" i="46" s="1"/>
  <c r="E62" i="46" s="1"/>
  <c r="F63" i="40"/>
  <c r="I35" i="46"/>
  <c r="J35" i="46" s="1"/>
  <c r="R56" i="46"/>
  <c r="W56" i="46" s="1"/>
  <c r="X49" i="52"/>
  <c r="X50" i="52"/>
  <c r="X52" i="52"/>
  <c r="O56" i="52"/>
  <c r="O57" i="52"/>
  <c r="O62" i="52"/>
  <c r="E65" i="52"/>
  <c r="T67" i="52"/>
  <c r="B45" i="46"/>
  <c r="D45" i="46" s="1"/>
  <c r="E45" i="46" s="1"/>
  <c r="B57" i="46"/>
  <c r="V57" i="46" s="1"/>
  <c r="Y35" i="52"/>
  <c r="Y36" i="52"/>
  <c r="Y37" i="52"/>
  <c r="Y38" i="52"/>
  <c r="V52" i="46"/>
  <c r="V76" i="55"/>
  <c r="V78" i="55" s="1"/>
  <c r="AA81" i="67"/>
  <c r="AA83" i="67" s="1"/>
  <c r="AA78" i="55"/>
  <c r="AA79" i="55" s="1"/>
  <c r="E34" i="27"/>
  <c r="AA78" i="68"/>
  <c r="AA79" i="68" s="1"/>
  <c r="AA81" i="68" s="1"/>
  <c r="AA83" i="68" s="1"/>
  <c r="AB25" i="68"/>
  <c r="AC25" i="68" s="1"/>
  <c r="AC37" i="68"/>
  <c r="B72" i="60"/>
  <c r="H27" i="27"/>
  <c r="H18" i="27"/>
  <c r="H22" i="27"/>
  <c r="H39" i="40"/>
  <c r="H21" i="27"/>
  <c r="H57" i="40"/>
  <c r="H70" i="40"/>
  <c r="F43" i="60"/>
  <c r="H14" i="27" s="1"/>
  <c r="B63" i="40"/>
  <c r="H63" i="40"/>
  <c r="H30" i="40"/>
  <c r="AC44" i="59"/>
  <c r="E41" i="59"/>
  <c r="O41" i="59"/>
  <c r="N25" i="59"/>
  <c r="B29" i="59"/>
  <c r="Q29" i="59"/>
  <c r="C29" i="59"/>
  <c r="R29" i="59"/>
  <c r="V41" i="59"/>
  <c r="O44" i="59"/>
  <c r="W76" i="59"/>
  <c r="T33" i="59"/>
  <c r="AB35" i="59"/>
  <c r="AC35" i="59" s="1"/>
  <c r="Y36" i="59"/>
  <c r="Y40" i="59"/>
  <c r="J46" i="59"/>
  <c r="Y49" i="59"/>
  <c r="Y60" i="59"/>
  <c r="Y66" i="59"/>
  <c r="X14" i="59"/>
  <c r="Y14" i="59" s="1"/>
  <c r="Y18" i="59"/>
  <c r="Y22" i="59"/>
  <c r="Y50" i="59"/>
  <c r="Y55" i="59"/>
  <c r="Y61" i="59"/>
  <c r="Y67" i="59"/>
  <c r="Y75" i="59"/>
  <c r="X82" i="59"/>
  <c r="Y82" i="59" s="1"/>
  <c r="Y45" i="59"/>
  <c r="E33" i="59"/>
  <c r="S27" i="46"/>
  <c r="T27" i="46" s="1"/>
  <c r="V34" i="46"/>
  <c r="V46" i="46"/>
  <c r="V66" i="46"/>
  <c r="E39" i="40"/>
  <c r="E70" i="40"/>
  <c r="E72" i="40" s="1"/>
  <c r="T44" i="55"/>
  <c r="S68" i="46"/>
  <c r="T68" i="46" s="1"/>
  <c r="H78" i="55"/>
  <c r="H79" i="55" s="1"/>
  <c r="H81" i="55" s="1"/>
  <c r="H83" i="55" s="1"/>
  <c r="J44" i="55"/>
  <c r="Y45" i="55"/>
  <c r="Y47" i="55"/>
  <c r="Y49" i="55"/>
  <c r="Y52" i="55"/>
  <c r="Y55" i="55"/>
  <c r="Y56" i="55"/>
  <c r="Y58" i="55"/>
  <c r="Y60" i="55"/>
  <c r="Y62" i="55"/>
  <c r="Y64" i="55"/>
  <c r="Y66" i="55"/>
  <c r="Y68" i="55"/>
  <c r="Y70" i="55"/>
  <c r="Y72" i="55"/>
  <c r="Y74" i="55"/>
  <c r="AC45" i="55"/>
  <c r="AC47" i="55"/>
  <c r="AC49" i="55"/>
  <c r="AC52" i="55"/>
  <c r="AC56" i="55"/>
  <c r="AC58" i="55"/>
  <c r="AC60" i="55"/>
  <c r="AC62" i="55"/>
  <c r="AC64" i="55"/>
  <c r="AC66" i="55"/>
  <c r="AC68" i="55"/>
  <c r="AC70" i="55"/>
  <c r="AC72" i="55"/>
  <c r="AC74" i="55"/>
  <c r="Y46" i="55"/>
  <c r="AC46" i="55"/>
  <c r="Y48" i="55"/>
  <c r="AC48" i="55"/>
  <c r="Y50" i="55"/>
  <c r="AC50" i="55"/>
  <c r="Y53" i="55"/>
  <c r="AC53" i="55"/>
  <c r="Y57" i="55"/>
  <c r="AC57" i="55"/>
  <c r="Y59" i="55"/>
  <c r="AC59" i="55"/>
  <c r="Y61" i="55"/>
  <c r="AC61" i="55"/>
  <c r="Y63" i="55"/>
  <c r="AC63" i="55"/>
  <c r="Y65" i="55"/>
  <c r="AC65" i="55"/>
  <c r="Y67" i="55"/>
  <c r="AC67" i="55"/>
  <c r="Y69" i="55"/>
  <c r="AC69" i="55"/>
  <c r="Y71" i="55"/>
  <c r="AC71" i="55"/>
  <c r="Y73" i="55"/>
  <c r="AC73" i="55"/>
  <c r="Y75" i="55"/>
  <c r="AC75" i="55"/>
  <c r="S41" i="55"/>
  <c r="T41" i="55" s="1"/>
  <c r="R79" i="55"/>
  <c r="R81" i="55" s="1"/>
  <c r="R83" i="55" s="1"/>
  <c r="Q81" i="55"/>
  <c r="Q83" i="55" s="1"/>
  <c r="T33" i="55"/>
  <c r="V40" i="46"/>
  <c r="O33" i="55"/>
  <c r="AB41" i="55"/>
  <c r="W41" i="55"/>
  <c r="D78" i="55"/>
  <c r="Y34" i="55"/>
  <c r="Y35" i="55"/>
  <c r="Y36" i="55"/>
  <c r="Y37" i="55"/>
  <c r="Y38" i="55"/>
  <c r="Y39" i="55"/>
  <c r="Y40" i="55"/>
  <c r="T14" i="55"/>
  <c r="Q29" i="55"/>
  <c r="S29" i="55"/>
  <c r="T25" i="55"/>
  <c r="AA29" i="55"/>
  <c r="R29" i="55"/>
  <c r="L29" i="55"/>
  <c r="I29" i="55"/>
  <c r="G29" i="55"/>
  <c r="J14" i="55"/>
  <c r="H29" i="55"/>
  <c r="V29" i="55"/>
  <c r="Y18" i="55"/>
  <c r="Y19" i="55"/>
  <c r="Y20" i="55"/>
  <c r="Y21" i="55"/>
  <c r="Y22" i="55"/>
  <c r="Y23" i="55"/>
  <c r="C29" i="55"/>
  <c r="Y17" i="55"/>
  <c r="Y15" i="55"/>
  <c r="Y16" i="55"/>
  <c r="E30" i="40"/>
  <c r="E20" i="40"/>
  <c r="W29" i="53"/>
  <c r="T19" i="53"/>
  <c r="Y21" i="53"/>
  <c r="Y23" i="53"/>
  <c r="I19" i="53"/>
  <c r="J19" i="53" s="1"/>
  <c r="O19" i="53"/>
  <c r="D29" i="53"/>
  <c r="L29" i="53"/>
  <c r="Y16" i="53"/>
  <c r="Y17" i="53"/>
  <c r="Y18" i="53"/>
  <c r="Y20" i="53"/>
  <c r="Y22" i="53"/>
  <c r="Y24" i="53"/>
  <c r="O27" i="53"/>
  <c r="N27" i="46"/>
  <c r="O27" i="46" s="1"/>
  <c r="W27" i="46"/>
  <c r="I27" i="46"/>
  <c r="J27" i="46" s="1"/>
  <c r="X27" i="53"/>
  <c r="R78" i="53"/>
  <c r="R79" i="53" s="1"/>
  <c r="R81" i="53" s="1"/>
  <c r="R83" i="53" s="1"/>
  <c r="N41" i="53"/>
  <c r="O41" i="53" s="1"/>
  <c r="N34" i="46"/>
  <c r="O34" i="46" s="1"/>
  <c r="Y36" i="53"/>
  <c r="H78" i="53"/>
  <c r="H79" i="53" s="1"/>
  <c r="H81" i="53" s="1"/>
  <c r="H83" i="53" s="1"/>
  <c r="G33" i="46"/>
  <c r="V33" i="46" s="1"/>
  <c r="W41" i="53"/>
  <c r="W78" i="53" s="1"/>
  <c r="C78" i="53"/>
  <c r="C79" i="53" s="1"/>
  <c r="C81" i="53" s="1"/>
  <c r="C83" i="53" s="1"/>
  <c r="E33" i="53"/>
  <c r="O33" i="53"/>
  <c r="X33" i="53"/>
  <c r="Y35" i="53"/>
  <c r="Y37" i="53"/>
  <c r="B78" i="53"/>
  <c r="B79" i="53" s="1"/>
  <c r="B81" i="53" s="1"/>
  <c r="B83" i="53" s="1"/>
  <c r="W73" i="46"/>
  <c r="V71" i="46"/>
  <c r="I71" i="46"/>
  <c r="J71" i="46" s="1"/>
  <c r="I68" i="46"/>
  <c r="J68" i="46" s="1"/>
  <c r="G45" i="46"/>
  <c r="I45" i="46" s="1"/>
  <c r="J45" i="46" s="1"/>
  <c r="Q48" i="46"/>
  <c r="V48" i="46" s="1"/>
  <c r="L61" i="46"/>
  <c r="V61" i="46" s="1"/>
  <c r="Q65" i="46"/>
  <c r="V65" i="46" s="1"/>
  <c r="L67" i="46"/>
  <c r="L76" i="53"/>
  <c r="L78" i="53" s="1"/>
  <c r="G49" i="46"/>
  <c r="I49" i="46" s="1"/>
  <c r="J49" i="46" s="1"/>
  <c r="Q58" i="46"/>
  <c r="S58" i="46" s="1"/>
  <c r="T58" i="46" s="1"/>
  <c r="G67" i="46"/>
  <c r="I67" i="46" s="1"/>
  <c r="J67" i="46" s="1"/>
  <c r="L72" i="46"/>
  <c r="N72" i="46" s="1"/>
  <c r="O72" i="46" s="1"/>
  <c r="Q72" i="46"/>
  <c r="S72" i="46" s="1"/>
  <c r="T72" i="46" s="1"/>
  <c r="D76" i="53"/>
  <c r="E76" i="53" s="1"/>
  <c r="X60" i="53"/>
  <c r="J60" i="53"/>
  <c r="X62" i="53"/>
  <c r="J62" i="53"/>
  <c r="X69" i="53"/>
  <c r="J69" i="53"/>
  <c r="G76" i="53"/>
  <c r="G78" i="53" s="1"/>
  <c r="G79" i="53" s="1"/>
  <c r="G81" i="53" s="1"/>
  <c r="G83" i="53" s="1"/>
  <c r="Q76" i="53"/>
  <c r="Q78" i="53" s="1"/>
  <c r="Q79" i="53" s="1"/>
  <c r="S76" i="53"/>
  <c r="L45" i="46"/>
  <c r="N45" i="46" s="1"/>
  <c r="O45" i="46" s="1"/>
  <c r="G47" i="46"/>
  <c r="I47" i="46" s="1"/>
  <c r="J47" i="46" s="1"/>
  <c r="Q47" i="46"/>
  <c r="S47" i="46" s="1"/>
  <c r="T47" i="46" s="1"/>
  <c r="L49" i="46"/>
  <c r="L58" i="46"/>
  <c r="N58" i="46" s="1"/>
  <c r="O58" i="46" s="1"/>
  <c r="G60" i="46"/>
  <c r="I60" i="46" s="1"/>
  <c r="J60" i="46" s="1"/>
  <c r="Q60" i="46"/>
  <c r="S60" i="46" s="1"/>
  <c r="T60" i="46" s="1"/>
  <c r="G62" i="46"/>
  <c r="I62" i="46" s="1"/>
  <c r="J62" i="46" s="1"/>
  <c r="Q62" i="46"/>
  <c r="S62" i="46" s="1"/>
  <c r="T62" i="46" s="1"/>
  <c r="D68" i="46"/>
  <c r="E68" i="46" s="1"/>
  <c r="D71" i="46"/>
  <c r="E71" i="46" s="1"/>
  <c r="L74" i="46"/>
  <c r="V74" i="46" s="1"/>
  <c r="Y44" i="53"/>
  <c r="X45" i="53"/>
  <c r="Y45" i="53" s="1"/>
  <c r="J47" i="53"/>
  <c r="X48" i="53"/>
  <c r="X56" i="53"/>
  <c r="Y56" i="53" s="1"/>
  <c r="J56" i="53"/>
  <c r="X65" i="53"/>
  <c r="J65" i="53"/>
  <c r="X72" i="53"/>
  <c r="J72" i="53"/>
  <c r="X49" i="53"/>
  <c r="X58" i="53"/>
  <c r="X61" i="53"/>
  <c r="X63" i="53"/>
  <c r="X67" i="53"/>
  <c r="X74" i="53"/>
  <c r="J34" i="27"/>
  <c r="B56" i="46"/>
  <c r="V56" i="46" s="1"/>
  <c r="G36" i="46"/>
  <c r="V36" i="46" s="1"/>
  <c r="G37" i="46"/>
  <c r="B53" i="46"/>
  <c r="J49" i="52"/>
  <c r="O49" i="52"/>
  <c r="T49" i="52"/>
  <c r="J50" i="52"/>
  <c r="O50" i="52"/>
  <c r="T50" i="52"/>
  <c r="E51" i="52"/>
  <c r="J52" i="52"/>
  <c r="O52" i="52"/>
  <c r="T52" i="52"/>
  <c r="J53" i="52"/>
  <c r="O53" i="52"/>
  <c r="T53" i="52"/>
  <c r="F70" i="40"/>
  <c r="H36" i="46"/>
  <c r="W36" i="46" s="1"/>
  <c r="H38" i="46"/>
  <c r="I38" i="46" s="1"/>
  <c r="J38" i="46" s="1"/>
  <c r="B50" i="46"/>
  <c r="D50" i="46" s="1"/>
  <c r="E50" i="46" s="1"/>
  <c r="G50" i="46"/>
  <c r="L50" i="46"/>
  <c r="N50" i="46" s="1"/>
  <c r="O50" i="46" s="1"/>
  <c r="Q50" i="46"/>
  <c r="C53" i="46"/>
  <c r="H53" i="46"/>
  <c r="I53" i="46" s="1"/>
  <c r="J53" i="46" s="1"/>
  <c r="M53" i="46"/>
  <c r="N53" i="46" s="1"/>
  <c r="O53" i="46" s="1"/>
  <c r="R53" i="46"/>
  <c r="S53" i="46" s="1"/>
  <c r="T53" i="46" s="1"/>
  <c r="C57" i="46"/>
  <c r="H57" i="46"/>
  <c r="I57" i="46" s="1"/>
  <c r="J57" i="46" s="1"/>
  <c r="M57" i="46"/>
  <c r="R57" i="46"/>
  <c r="S57" i="46" s="1"/>
  <c r="T57" i="46" s="1"/>
  <c r="C65" i="46"/>
  <c r="D65" i="46" s="1"/>
  <c r="E65" i="46" s="1"/>
  <c r="H65" i="46"/>
  <c r="I65" i="46" s="1"/>
  <c r="J65" i="46" s="1"/>
  <c r="C67" i="46"/>
  <c r="D67" i="46" s="1"/>
  <c r="E67" i="46" s="1"/>
  <c r="R67" i="46"/>
  <c r="S67" i="46" s="1"/>
  <c r="T67" i="46" s="1"/>
  <c r="H41" i="52"/>
  <c r="M41" i="52"/>
  <c r="M78" i="52" s="1"/>
  <c r="M79" i="52" s="1"/>
  <c r="M81" i="52" s="1"/>
  <c r="M83" i="52" s="1"/>
  <c r="R41" i="52"/>
  <c r="O35" i="52"/>
  <c r="O36" i="52"/>
  <c r="O37" i="52"/>
  <c r="H76" i="52"/>
  <c r="R76" i="52"/>
  <c r="K72" i="40"/>
  <c r="K34" i="27"/>
  <c r="N14" i="46"/>
  <c r="O14" i="46" s="1"/>
  <c r="H25" i="46"/>
  <c r="H29" i="46" s="1"/>
  <c r="J18" i="46"/>
  <c r="C25" i="46"/>
  <c r="C29" i="46" s="1"/>
  <c r="D16" i="46"/>
  <c r="E16" i="46" s="1"/>
  <c r="S39" i="46"/>
  <c r="T39" i="46" s="1"/>
  <c r="B41" i="46"/>
  <c r="D34" i="46"/>
  <c r="E34" i="46" s="1"/>
  <c r="D36" i="46"/>
  <c r="E36" i="46" s="1"/>
  <c r="W64" i="46"/>
  <c r="AB64" i="46" s="1"/>
  <c r="AC64" i="46" s="1"/>
  <c r="W68" i="46"/>
  <c r="AB68" i="46" s="1"/>
  <c r="AC68" i="46" s="1"/>
  <c r="V69" i="46"/>
  <c r="N65" i="46"/>
  <c r="O65" i="46" s="1"/>
  <c r="N68" i="46"/>
  <c r="O68" i="46" s="1"/>
  <c r="N71" i="46"/>
  <c r="O71" i="46" s="1"/>
  <c r="V55" i="46"/>
  <c r="V59" i="46"/>
  <c r="V63" i="46"/>
  <c r="W70" i="46"/>
  <c r="AB70" i="46" s="1"/>
  <c r="AC70" i="46" s="1"/>
  <c r="V75" i="46"/>
  <c r="D40" i="46"/>
  <c r="E40" i="46" s="1"/>
  <c r="S71" i="46"/>
  <c r="T71" i="46" s="1"/>
  <c r="D15" i="46"/>
  <c r="E15" i="46" s="1"/>
  <c r="J20" i="46"/>
  <c r="D22" i="46"/>
  <c r="E22" i="46" s="1"/>
  <c r="J24" i="46"/>
  <c r="R41" i="46"/>
  <c r="D46" i="46"/>
  <c r="E46" i="46" s="1"/>
  <c r="I46" i="46"/>
  <c r="J46" i="46" s="1"/>
  <c r="N46" i="46"/>
  <c r="O46" i="46" s="1"/>
  <c r="S46" i="46"/>
  <c r="T46" i="46" s="1"/>
  <c r="D48" i="46"/>
  <c r="E48" i="46" s="1"/>
  <c r="I48" i="46"/>
  <c r="J48" i="46" s="1"/>
  <c r="N48" i="46"/>
  <c r="O48" i="46" s="1"/>
  <c r="D54" i="46"/>
  <c r="E54" i="46" s="1"/>
  <c r="I54" i="46"/>
  <c r="J54" i="46" s="1"/>
  <c r="D58" i="46"/>
  <c r="E58" i="46" s="1"/>
  <c r="I58" i="46"/>
  <c r="J58" i="46" s="1"/>
  <c r="D60" i="46"/>
  <c r="E60" i="46" s="1"/>
  <c r="N60" i="46"/>
  <c r="O60" i="46" s="1"/>
  <c r="D74" i="46"/>
  <c r="E74" i="46" s="1"/>
  <c r="I74" i="46"/>
  <c r="J74" i="46" s="1"/>
  <c r="S74" i="46"/>
  <c r="T74" i="46" s="1"/>
  <c r="J17" i="46"/>
  <c r="V35" i="46"/>
  <c r="D38" i="46"/>
  <c r="E38" i="46" s="1"/>
  <c r="N40" i="46"/>
  <c r="O40" i="46" s="1"/>
  <c r="W46" i="46"/>
  <c r="N54" i="46"/>
  <c r="O54" i="46" s="1"/>
  <c r="S54" i="46"/>
  <c r="T54" i="46" s="1"/>
  <c r="G25" i="46"/>
  <c r="G29" i="46" s="1"/>
  <c r="B25" i="46"/>
  <c r="B29" i="46" s="1"/>
  <c r="J21" i="46"/>
  <c r="D35" i="46"/>
  <c r="E35" i="46" s="1"/>
  <c r="D37" i="46"/>
  <c r="E37" i="46" s="1"/>
  <c r="V38" i="46"/>
  <c r="D39" i="46"/>
  <c r="E39" i="46" s="1"/>
  <c r="N39" i="46"/>
  <c r="O39" i="46" s="1"/>
  <c r="W71" i="46"/>
  <c r="D23" i="46"/>
  <c r="E23" i="46" s="1"/>
  <c r="M25" i="46"/>
  <c r="M29" i="46" s="1"/>
  <c r="D33" i="46"/>
  <c r="W34" i="46"/>
  <c r="W40" i="46"/>
  <c r="C41" i="46"/>
  <c r="D14" i="46"/>
  <c r="I14" i="46"/>
  <c r="S14" i="46"/>
  <c r="T14" i="46" s="1"/>
  <c r="J15" i="46"/>
  <c r="J16" i="46"/>
  <c r="D17" i="46"/>
  <c r="E17" i="46" s="1"/>
  <c r="D18" i="46"/>
  <c r="E18" i="46" s="1"/>
  <c r="D27" i="46"/>
  <c r="E27" i="46" s="1"/>
  <c r="L41" i="46"/>
  <c r="Q41" i="46"/>
  <c r="W39" i="46"/>
  <c r="W48" i="46"/>
  <c r="AB48" i="46" s="1"/>
  <c r="AC48" i="46" s="1"/>
  <c r="W58" i="46"/>
  <c r="W60" i="46"/>
  <c r="W74" i="46"/>
  <c r="D21" i="46"/>
  <c r="E21" i="46" s="1"/>
  <c r="J22" i="46"/>
  <c r="J23" i="46"/>
  <c r="D24" i="46"/>
  <c r="E24" i="46" s="1"/>
  <c r="M41" i="46"/>
  <c r="I34" i="46"/>
  <c r="J34" i="46" s="1"/>
  <c r="S34" i="46"/>
  <c r="T34" i="46" s="1"/>
  <c r="N36" i="46"/>
  <c r="O36" i="46" s="1"/>
  <c r="S37" i="46"/>
  <c r="T37" i="46" s="1"/>
  <c r="N38" i="46"/>
  <c r="O38" i="46" s="1"/>
  <c r="I39" i="46"/>
  <c r="J39" i="46" s="1"/>
  <c r="I40" i="46"/>
  <c r="J40" i="46" s="1"/>
  <c r="S40" i="46"/>
  <c r="T40" i="46" s="1"/>
  <c r="S45" i="46"/>
  <c r="T45" i="46" s="1"/>
  <c r="N47" i="46"/>
  <c r="O47" i="46" s="1"/>
  <c r="D49" i="46"/>
  <c r="E49" i="46" s="1"/>
  <c r="D51" i="46"/>
  <c r="E51" i="46" s="1"/>
  <c r="I51" i="46"/>
  <c r="J51" i="46" s="1"/>
  <c r="N51" i="46"/>
  <c r="O51" i="46" s="1"/>
  <c r="S51" i="46"/>
  <c r="T51" i="46" s="1"/>
  <c r="D55" i="46"/>
  <c r="E55" i="46" s="1"/>
  <c r="I55" i="46"/>
  <c r="J55" i="46" s="1"/>
  <c r="N55" i="46"/>
  <c r="O55" i="46" s="1"/>
  <c r="S55" i="46"/>
  <c r="T55" i="46" s="1"/>
  <c r="W55" i="46"/>
  <c r="D59" i="46"/>
  <c r="E59" i="46" s="1"/>
  <c r="I59" i="46"/>
  <c r="J59" i="46" s="1"/>
  <c r="N59" i="46"/>
  <c r="O59" i="46" s="1"/>
  <c r="S59" i="46"/>
  <c r="T59" i="46" s="1"/>
  <c r="W59" i="46"/>
  <c r="D61" i="46"/>
  <c r="E61" i="46" s="1"/>
  <c r="I61" i="46"/>
  <c r="J61" i="46" s="1"/>
  <c r="S61" i="46"/>
  <c r="T61" i="46" s="1"/>
  <c r="W61" i="46"/>
  <c r="D63" i="46"/>
  <c r="E63" i="46" s="1"/>
  <c r="I63" i="46"/>
  <c r="J63" i="46" s="1"/>
  <c r="N63" i="46"/>
  <c r="O63" i="46" s="1"/>
  <c r="S63" i="46"/>
  <c r="T63" i="46" s="1"/>
  <c r="W63" i="46"/>
  <c r="D64" i="46"/>
  <c r="E64" i="46" s="1"/>
  <c r="I64" i="46"/>
  <c r="J64" i="46" s="1"/>
  <c r="N64" i="46"/>
  <c r="O64" i="46" s="1"/>
  <c r="S64" i="46"/>
  <c r="T64" i="46" s="1"/>
  <c r="D66" i="46"/>
  <c r="E66" i="46" s="1"/>
  <c r="I66" i="46"/>
  <c r="J66" i="46" s="1"/>
  <c r="N66" i="46"/>
  <c r="O66" i="46" s="1"/>
  <c r="S66" i="46"/>
  <c r="T66" i="46" s="1"/>
  <c r="W66" i="46"/>
  <c r="D69" i="46"/>
  <c r="E69" i="46" s="1"/>
  <c r="I69" i="46"/>
  <c r="J69" i="46" s="1"/>
  <c r="N69" i="46"/>
  <c r="O69" i="46" s="1"/>
  <c r="S69" i="46"/>
  <c r="T69" i="46" s="1"/>
  <c r="W69" i="46"/>
  <c r="D70" i="46"/>
  <c r="E70" i="46" s="1"/>
  <c r="I70" i="46"/>
  <c r="J70" i="46" s="1"/>
  <c r="N70" i="46"/>
  <c r="O70" i="46" s="1"/>
  <c r="S70" i="46"/>
  <c r="T70" i="46" s="1"/>
  <c r="D72" i="46"/>
  <c r="E72" i="46" s="1"/>
  <c r="I72" i="46"/>
  <c r="J72" i="46" s="1"/>
  <c r="W72" i="46"/>
  <c r="D73" i="46"/>
  <c r="E73" i="46" s="1"/>
  <c r="I73" i="46"/>
  <c r="J73" i="46" s="1"/>
  <c r="N73" i="46"/>
  <c r="O73" i="46" s="1"/>
  <c r="S73" i="46"/>
  <c r="T73" i="46" s="1"/>
  <c r="D75" i="46"/>
  <c r="E75" i="46" s="1"/>
  <c r="I75" i="46"/>
  <c r="J75" i="46" s="1"/>
  <c r="N75" i="46"/>
  <c r="O75" i="46" s="1"/>
  <c r="S75" i="46"/>
  <c r="T75" i="46" s="1"/>
  <c r="W75" i="46"/>
  <c r="K25" i="27"/>
  <c r="K28" i="27" s="1"/>
  <c r="K21" i="27"/>
  <c r="K23" i="27" s="1"/>
  <c r="K19" i="27"/>
  <c r="K14" i="27"/>
  <c r="K15" i="27" s="1"/>
  <c r="K30" i="40"/>
  <c r="K39" i="40"/>
  <c r="L25" i="46"/>
  <c r="L29" i="46" s="1"/>
  <c r="S35" i="46"/>
  <c r="T35" i="46" s="1"/>
  <c r="S36" i="46"/>
  <c r="T36" i="46" s="1"/>
  <c r="S38" i="46"/>
  <c r="T38" i="46" s="1"/>
  <c r="V39" i="46"/>
  <c r="I56" i="46"/>
  <c r="J56" i="46" s="1"/>
  <c r="V73" i="46"/>
  <c r="V64" i="46"/>
  <c r="V68" i="46"/>
  <c r="V70" i="46"/>
  <c r="O38" i="52"/>
  <c r="J45" i="52"/>
  <c r="O45" i="52"/>
  <c r="T45" i="52"/>
  <c r="J47" i="52"/>
  <c r="O47" i="52"/>
  <c r="T47" i="52"/>
  <c r="I52" i="46"/>
  <c r="J52" i="46" s="1"/>
  <c r="S52" i="46"/>
  <c r="T52" i="46" s="1"/>
  <c r="C20" i="54"/>
  <c r="E20" i="54"/>
  <c r="C39" i="54"/>
  <c r="E39" i="54"/>
  <c r="B57" i="54"/>
  <c r="D57" i="54"/>
  <c r="F57" i="54"/>
  <c r="F22" i="27" s="1"/>
  <c r="C63" i="54"/>
  <c r="E63" i="54"/>
  <c r="C70" i="54"/>
  <c r="E70" i="54"/>
  <c r="G41" i="52"/>
  <c r="L41" i="52"/>
  <c r="L78" i="52" s="1"/>
  <c r="L79" i="52" s="1"/>
  <c r="L81" i="52" s="1"/>
  <c r="L83" i="52" s="1"/>
  <c r="Q41" i="52"/>
  <c r="D20" i="40"/>
  <c r="D30" i="40"/>
  <c r="D39" i="40"/>
  <c r="D34" i="27"/>
  <c r="D70" i="40"/>
  <c r="D72" i="40" s="1"/>
  <c r="C20" i="40"/>
  <c r="C30" i="40"/>
  <c r="C34" i="27"/>
  <c r="D47" i="46"/>
  <c r="E47" i="46" s="1"/>
  <c r="F39" i="40"/>
  <c r="B20" i="54"/>
  <c r="D20" i="54"/>
  <c r="F20" i="54"/>
  <c r="B39" i="54"/>
  <c r="D39" i="54"/>
  <c r="F39" i="54"/>
  <c r="C57" i="54"/>
  <c r="E57" i="54"/>
  <c r="B63" i="54"/>
  <c r="D63" i="54"/>
  <c r="F63" i="54"/>
  <c r="B70" i="54"/>
  <c r="D70" i="54"/>
  <c r="F70" i="54"/>
  <c r="Y34" i="52"/>
  <c r="Y39" i="52"/>
  <c r="Y40" i="52"/>
  <c r="G76" i="52"/>
  <c r="O65" i="52"/>
  <c r="T65" i="52"/>
  <c r="J67" i="52"/>
  <c r="O67" i="52"/>
  <c r="F20" i="40"/>
  <c r="W33" i="46"/>
  <c r="D44" i="46"/>
  <c r="I44" i="46"/>
  <c r="N44" i="46"/>
  <c r="S44" i="46"/>
  <c r="V44" i="46"/>
  <c r="W45" i="46"/>
  <c r="S49" i="46"/>
  <c r="T49" i="46" s="1"/>
  <c r="AB35" i="52"/>
  <c r="AC35" i="52" s="1"/>
  <c r="AB36" i="52"/>
  <c r="AC36" i="52" s="1"/>
  <c r="AB37" i="52"/>
  <c r="AC37" i="52" s="1"/>
  <c r="AB38" i="52"/>
  <c r="AC38" i="52" s="1"/>
  <c r="N33" i="46"/>
  <c r="S33" i="46"/>
  <c r="N35" i="46"/>
  <c r="O35" i="46" s="1"/>
  <c r="N37" i="46"/>
  <c r="O37" i="46" s="1"/>
  <c r="W44" i="46"/>
  <c r="W47" i="46"/>
  <c r="W49" i="46"/>
  <c r="W50" i="46"/>
  <c r="AB45" i="52"/>
  <c r="AC45" i="52" s="1"/>
  <c r="Y45" i="52"/>
  <c r="N56" i="46"/>
  <c r="O56" i="46" s="1"/>
  <c r="N62" i="46"/>
  <c r="O62" i="46" s="1"/>
  <c r="W62" i="46"/>
  <c r="Q76" i="52"/>
  <c r="E45" i="52"/>
  <c r="E47" i="52"/>
  <c r="E49" i="52"/>
  <c r="D52" i="46"/>
  <c r="E52" i="46" s="1"/>
  <c r="N52" i="46"/>
  <c r="O52" i="46" s="1"/>
  <c r="W52" i="46"/>
  <c r="I41" i="52"/>
  <c r="J35" i="52"/>
  <c r="J36" i="52"/>
  <c r="J37" i="52"/>
  <c r="J38" i="52"/>
  <c r="E52" i="52"/>
  <c r="E53" i="52"/>
  <c r="E56" i="52"/>
  <c r="E57" i="52"/>
  <c r="E62" i="52"/>
  <c r="X65" i="52"/>
  <c r="AB66" i="52"/>
  <c r="AC66" i="52" s="1"/>
  <c r="Y66" i="52"/>
  <c r="E50" i="52"/>
  <c r="AB63" i="52"/>
  <c r="AC63" i="52" s="1"/>
  <c r="Y63" i="52"/>
  <c r="AB64" i="52"/>
  <c r="AC64" i="52" s="1"/>
  <c r="Y64" i="52"/>
  <c r="X67" i="52"/>
  <c r="AB68" i="52"/>
  <c r="AC68" i="52" s="1"/>
  <c r="Y68" i="52"/>
  <c r="B43" i="47"/>
  <c r="D43" i="47"/>
  <c r="F43" i="47"/>
  <c r="G43" i="40"/>
  <c r="G35" i="27" s="1"/>
  <c r="E76" i="55"/>
  <c r="J14" i="27"/>
  <c r="J15" i="27" s="1"/>
  <c r="AA78" i="53"/>
  <c r="AA79" i="53" s="1"/>
  <c r="AA81" i="53" s="1"/>
  <c r="AA83" i="53" s="1"/>
  <c r="AC76" i="53"/>
  <c r="AC45" i="53"/>
  <c r="C31" i="27" l="1"/>
  <c r="C30" i="27"/>
  <c r="AC44" i="48"/>
  <c r="AB76" i="48"/>
  <c r="X41" i="48"/>
  <c r="F25" i="27"/>
  <c r="F21" i="27"/>
  <c r="F17" i="27"/>
  <c r="G14" i="27"/>
  <c r="G15" i="27" s="1"/>
  <c r="Y33" i="59"/>
  <c r="X41" i="59"/>
  <c r="D30" i="27"/>
  <c r="D31" i="27"/>
  <c r="R78" i="52"/>
  <c r="AB29" i="52"/>
  <c r="AC29" i="52" s="1"/>
  <c r="L79" i="55"/>
  <c r="L81" i="55" s="1"/>
  <c r="L83" i="55" s="1"/>
  <c r="N83" i="55" s="1"/>
  <c r="D79" i="68"/>
  <c r="D29" i="68"/>
  <c r="M79" i="68"/>
  <c r="M81" i="68" s="1"/>
  <c r="M83" i="68" s="1"/>
  <c r="N83" i="68" s="1"/>
  <c r="AB25" i="59"/>
  <c r="X53" i="52"/>
  <c r="Y53" i="52" s="1"/>
  <c r="AB53" i="52"/>
  <c r="I25" i="53"/>
  <c r="S25" i="53"/>
  <c r="AB41" i="53"/>
  <c r="AC41" i="53" s="1"/>
  <c r="AB29" i="53"/>
  <c r="AC29" i="53" s="1"/>
  <c r="Q25" i="46"/>
  <c r="Q29" i="46" s="1"/>
  <c r="Q81" i="53"/>
  <c r="Q83" i="53" s="1"/>
  <c r="S83" i="53" s="1"/>
  <c r="S24" i="46"/>
  <c r="T24" i="46" s="1"/>
  <c r="W24" i="46"/>
  <c r="X24" i="46" s="1"/>
  <c r="Y24" i="46" s="1"/>
  <c r="L28" i="27"/>
  <c r="AC25" i="52"/>
  <c r="F27" i="27"/>
  <c r="B27" i="27" s="1"/>
  <c r="F13" i="27"/>
  <c r="F43" i="54"/>
  <c r="F14" i="27" s="1"/>
  <c r="AB41" i="68"/>
  <c r="AC41" i="68" s="1"/>
  <c r="E29" i="68"/>
  <c r="V78" i="68"/>
  <c r="V79" i="68" s="1"/>
  <c r="V81" i="68" s="1"/>
  <c r="V83" i="68" s="1"/>
  <c r="W78" i="68"/>
  <c r="W79" i="68" s="1"/>
  <c r="X41" i="68"/>
  <c r="Y41" i="68" s="1"/>
  <c r="O25" i="68"/>
  <c r="I29" i="67"/>
  <c r="J29" i="67" s="1"/>
  <c r="J25" i="67"/>
  <c r="X25" i="59"/>
  <c r="Y25" i="59" s="1"/>
  <c r="S83" i="55"/>
  <c r="AA83" i="48"/>
  <c r="I83" i="48"/>
  <c r="I78" i="59"/>
  <c r="D83" i="59"/>
  <c r="S83" i="58"/>
  <c r="S29" i="67"/>
  <c r="T29" i="67" s="1"/>
  <c r="S29" i="68"/>
  <c r="T29" i="68" s="1"/>
  <c r="N79" i="68"/>
  <c r="N81" i="68" s="1"/>
  <c r="H79" i="68"/>
  <c r="H81" i="68" s="1"/>
  <c r="H83" i="68" s="1"/>
  <c r="S79" i="68"/>
  <c r="S81" i="68" s="1"/>
  <c r="X76" i="68"/>
  <c r="Y76" i="68" s="1"/>
  <c r="AB76" i="68"/>
  <c r="AC76" i="68" s="1"/>
  <c r="S83" i="68"/>
  <c r="T83" i="68" s="1"/>
  <c r="T78" i="68"/>
  <c r="G79" i="68"/>
  <c r="G81" i="68" s="1"/>
  <c r="G83" i="68" s="1"/>
  <c r="I25" i="68"/>
  <c r="V78" i="59"/>
  <c r="V79" i="59" s="1"/>
  <c r="V81" i="59" s="1"/>
  <c r="V83" i="59" s="1"/>
  <c r="J25" i="48"/>
  <c r="O29" i="52"/>
  <c r="S83" i="59"/>
  <c r="T78" i="59"/>
  <c r="I29" i="61"/>
  <c r="AB76" i="45"/>
  <c r="N83" i="45"/>
  <c r="N83" i="67"/>
  <c r="O25" i="58"/>
  <c r="N78" i="59"/>
  <c r="O78" i="59" s="1"/>
  <c r="E78" i="55"/>
  <c r="S29" i="58"/>
  <c r="T29" i="58" s="1"/>
  <c r="I83" i="67"/>
  <c r="E25" i="67"/>
  <c r="D83" i="67"/>
  <c r="S83" i="67"/>
  <c r="N78" i="67"/>
  <c r="O78" i="67" s="1"/>
  <c r="L23" i="27"/>
  <c r="D83" i="53"/>
  <c r="I83" i="53"/>
  <c r="AA78" i="59"/>
  <c r="AA79" i="59" s="1"/>
  <c r="AA81" i="59" s="1"/>
  <c r="AA83" i="59" s="1"/>
  <c r="N83" i="58"/>
  <c r="I29" i="58"/>
  <c r="J29" i="58" s="1"/>
  <c r="D83" i="58"/>
  <c r="I83" i="59"/>
  <c r="I29" i="59"/>
  <c r="J29" i="59" s="1"/>
  <c r="N83" i="59"/>
  <c r="H23" i="27"/>
  <c r="V78" i="48"/>
  <c r="V79" i="48" s="1"/>
  <c r="V81" i="48" s="1"/>
  <c r="V83" i="48" s="1"/>
  <c r="R81" i="48"/>
  <c r="R83" i="48" s="1"/>
  <c r="S83" i="48" s="1"/>
  <c r="N83" i="48"/>
  <c r="D83" i="52"/>
  <c r="AB47" i="52"/>
  <c r="AC47" i="52" s="1"/>
  <c r="X47" i="52"/>
  <c r="Y47" i="52" s="1"/>
  <c r="X57" i="52"/>
  <c r="Y57" i="52" s="1"/>
  <c r="X62" i="52"/>
  <c r="Y62" i="52" s="1"/>
  <c r="E72" i="54"/>
  <c r="F72" i="54"/>
  <c r="S78" i="55"/>
  <c r="T78" i="55" s="1"/>
  <c r="I83" i="55"/>
  <c r="N79" i="61"/>
  <c r="N81" i="61" s="1"/>
  <c r="N83" i="61" s="1"/>
  <c r="I83" i="61"/>
  <c r="D29" i="61"/>
  <c r="E29" i="61" s="1"/>
  <c r="D83" i="61"/>
  <c r="B81" i="45"/>
  <c r="B83" i="45" s="1"/>
  <c r="D83" i="45" s="1"/>
  <c r="I83" i="45"/>
  <c r="AB29" i="45"/>
  <c r="AC29" i="45" s="1"/>
  <c r="N29" i="45"/>
  <c r="S83" i="45"/>
  <c r="T83" i="45" s="1"/>
  <c r="O78" i="68"/>
  <c r="Y61" i="53"/>
  <c r="Y49" i="53"/>
  <c r="Y48" i="53"/>
  <c r="Y72" i="53"/>
  <c r="Y58" i="53"/>
  <c r="Y60" i="53"/>
  <c r="Y74" i="53"/>
  <c r="Y69" i="53"/>
  <c r="Y67" i="53"/>
  <c r="Y65" i="53"/>
  <c r="V41" i="53"/>
  <c r="X41" i="53"/>
  <c r="Y63" i="53"/>
  <c r="Y62" i="53"/>
  <c r="Q79" i="61"/>
  <c r="Q81" i="61" s="1"/>
  <c r="Q83" i="61" s="1"/>
  <c r="O25" i="52"/>
  <c r="E76" i="68"/>
  <c r="S78" i="58"/>
  <c r="T41" i="59"/>
  <c r="N78" i="55"/>
  <c r="O78" i="55" s="1"/>
  <c r="D81" i="68"/>
  <c r="J78" i="68"/>
  <c r="D78" i="67"/>
  <c r="I78" i="67"/>
  <c r="J78" i="67" s="1"/>
  <c r="S78" i="67"/>
  <c r="T78" i="67" s="1"/>
  <c r="D78" i="53"/>
  <c r="D79" i="53" s="1"/>
  <c r="D81" i="53" s="1"/>
  <c r="E25" i="53"/>
  <c r="W78" i="58"/>
  <c r="W79" i="58" s="1"/>
  <c r="E25" i="58"/>
  <c r="N78" i="58"/>
  <c r="J78" i="59"/>
  <c r="J25" i="55"/>
  <c r="I78" i="55"/>
  <c r="J78" i="55" s="1"/>
  <c r="AA81" i="55"/>
  <c r="AA83" i="55" s="1"/>
  <c r="B81" i="55"/>
  <c r="B83" i="55" s="1"/>
  <c r="D83" i="55" s="1"/>
  <c r="D79" i="55"/>
  <c r="D81" i="55" s="1"/>
  <c r="I78" i="61"/>
  <c r="J78" i="61" s="1"/>
  <c r="N78" i="45"/>
  <c r="S81" i="59"/>
  <c r="N29" i="48"/>
  <c r="O29" i="48" s="1"/>
  <c r="X76" i="48"/>
  <c r="Y76" i="48" s="1"/>
  <c r="N78" i="48"/>
  <c r="I78" i="48"/>
  <c r="J78" i="48" s="1"/>
  <c r="AB41" i="48"/>
  <c r="AC41" i="48" s="1"/>
  <c r="F34" i="27"/>
  <c r="W29" i="68"/>
  <c r="AB29" i="68" s="1"/>
  <c r="AC29" i="68" s="1"/>
  <c r="X25" i="68"/>
  <c r="W79" i="67"/>
  <c r="V79" i="67"/>
  <c r="V81" i="67" s="1"/>
  <c r="V83" i="67" s="1"/>
  <c r="AB76" i="67"/>
  <c r="AC76" i="67" s="1"/>
  <c r="X76" i="67"/>
  <c r="Y76" i="67" s="1"/>
  <c r="AB41" i="67"/>
  <c r="X41" i="67"/>
  <c r="AC33" i="67"/>
  <c r="AB25" i="67"/>
  <c r="AC25" i="67" s="1"/>
  <c r="X25" i="67"/>
  <c r="X29" i="67" s="1"/>
  <c r="Y29" i="67" s="1"/>
  <c r="L19" i="27"/>
  <c r="E29" i="53"/>
  <c r="V78" i="58"/>
  <c r="V79" i="58" s="1"/>
  <c r="V81" i="58" s="1"/>
  <c r="V83" i="58" s="1"/>
  <c r="X76" i="58"/>
  <c r="Y76" i="58" s="1"/>
  <c r="Y44" i="58"/>
  <c r="AB76" i="58"/>
  <c r="AC76" i="58" s="1"/>
  <c r="I78" i="58"/>
  <c r="X41" i="58"/>
  <c r="D78" i="58"/>
  <c r="AB41" i="58"/>
  <c r="X25" i="58"/>
  <c r="Y25" i="58" s="1"/>
  <c r="AB25" i="58"/>
  <c r="W29" i="58"/>
  <c r="AB29" i="58" s="1"/>
  <c r="AC29" i="58" s="1"/>
  <c r="AB46" i="46"/>
  <c r="AC46" i="46" s="1"/>
  <c r="AB44" i="46"/>
  <c r="AC44" i="46" s="1"/>
  <c r="AB29" i="59"/>
  <c r="AC29" i="59" s="1"/>
  <c r="D78" i="59"/>
  <c r="E78" i="59" s="1"/>
  <c r="AB76" i="59"/>
  <c r="AC76" i="59" s="1"/>
  <c r="AB73" i="46"/>
  <c r="AC73" i="46" s="1"/>
  <c r="Y41" i="59"/>
  <c r="AB41" i="59"/>
  <c r="AC41" i="59" s="1"/>
  <c r="D78" i="48"/>
  <c r="E78" i="48" s="1"/>
  <c r="E41" i="48"/>
  <c r="D29" i="48"/>
  <c r="E29" i="48" s="1"/>
  <c r="E25" i="48"/>
  <c r="T41" i="48"/>
  <c r="S78" i="48"/>
  <c r="T78" i="48" s="1"/>
  <c r="Y33" i="48"/>
  <c r="Y41" i="48"/>
  <c r="W79" i="48"/>
  <c r="X25" i="48"/>
  <c r="S29" i="48"/>
  <c r="T29" i="48" s="1"/>
  <c r="T25" i="48"/>
  <c r="AB25" i="48"/>
  <c r="AC25" i="48" s="1"/>
  <c r="AB71" i="46"/>
  <c r="AC71" i="46" s="1"/>
  <c r="AA81" i="52"/>
  <c r="AA83" i="52" s="1"/>
  <c r="E41" i="52"/>
  <c r="D29" i="52"/>
  <c r="E29" i="52" s="1"/>
  <c r="I76" i="52"/>
  <c r="I78" i="52" s="1"/>
  <c r="AB49" i="52"/>
  <c r="AC49" i="52" s="1"/>
  <c r="AB50" i="52"/>
  <c r="AC50" i="52" s="1"/>
  <c r="AC53" i="52"/>
  <c r="AB52" i="52"/>
  <c r="AC52" i="52" s="1"/>
  <c r="Y56" i="52"/>
  <c r="AB56" i="52"/>
  <c r="AC56" i="52" s="1"/>
  <c r="T78" i="45"/>
  <c r="S81" i="45"/>
  <c r="D29" i="45"/>
  <c r="E29" i="45" s="1"/>
  <c r="O25" i="55"/>
  <c r="J29" i="55"/>
  <c r="D78" i="45"/>
  <c r="J41" i="45"/>
  <c r="I78" i="45"/>
  <c r="I29" i="45"/>
  <c r="J29" i="45" s="1"/>
  <c r="J25" i="45"/>
  <c r="O29" i="45"/>
  <c r="T25" i="52"/>
  <c r="AB62" i="52"/>
  <c r="AC62" i="52" s="1"/>
  <c r="M76" i="46"/>
  <c r="M78" i="46" s="1"/>
  <c r="M79" i="46" s="1"/>
  <c r="M81" i="46" s="1"/>
  <c r="M83" i="46" s="1"/>
  <c r="I37" i="46"/>
  <c r="J37" i="46" s="1"/>
  <c r="R79" i="52"/>
  <c r="R81" i="52" s="1"/>
  <c r="R83" i="52" s="1"/>
  <c r="X27" i="46"/>
  <c r="S56" i="46"/>
  <c r="T56" i="46" s="1"/>
  <c r="J25" i="52"/>
  <c r="N61" i="46"/>
  <c r="O61" i="46" s="1"/>
  <c r="Y52" i="52"/>
  <c r="Y50" i="52"/>
  <c r="D57" i="46"/>
  <c r="E57" i="46" s="1"/>
  <c r="H78" i="52"/>
  <c r="H79" i="52" s="1"/>
  <c r="H81" i="52" s="1"/>
  <c r="H83" i="52" s="1"/>
  <c r="W35" i="46"/>
  <c r="X35" i="46" s="1"/>
  <c r="Y35" i="46" s="1"/>
  <c r="G78" i="52"/>
  <c r="G79" i="52" s="1"/>
  <c r="G81" i="52" s="1"/>
  <c r="G83" i="52" s="1"/>
  <c r="AB57" i="52"/>
  <c r="AC57" i="52" s="1"/>
  <c r="V41" i="52"/>
  <c r="X25" i="52"/>
  <c r="Y14" i="52"/>
  <c r="D43" i="54"/>
  <c r="J41" i="61"/>
  <c r="AB29" i="61"/>
  <c r="AC29" i="61" s="1"/>
  <c r="T78" i="61"/>
  <c r="L79" i="61"/>
  <c r="L81" i="61" s="1"/>
  <c r="O78" i="61"/>
  <c r="O25" i="61"/>
  <c r="D56" i="46"/>
  <c r="E56" i="46" s="1"/>
  <c r="D78" i="61"/>
  <c r="E78" i="61" s="1"/>
  <c r="V49" i="46"/>
  <c r="X49" i="46" s="1"/>
  <c r="Y49" i="46" s="1"/>
  <c r="V67" i="46"/>
  <c r="AA25" i="46"/>
  <c r="N67" i="46"/>
  <c r="O67" i="46" s="1"/>
  <c r="X52" i="46"/>
  <c r="Y52" i="46" s="1"/>
  <c r="O29" i="61"/>
  <c r="J29" i="61"/>
  <c r="Y49" i="52"/>
  <c r="C76" i="46"/>
  <c r="C78" i="46" s="1"/>
  <c r="C79" i="46" s="1"/>
  <c r="C81" i="46" s="1"/>
  <c r="C83" i="46" s="1"/>
  <c r="W78" i="55"/>
  <c r="AB41" i="61"/>
  <c r="AC41" i="61" s="1"/>
  <c r="X34" i="46"/>
  <c r="Y34" i="46" s="1"/>
  <c r="X41" i="61"/>
  <c r="X78" i="61" s="1"/>
  <c r="Y33" i="61"/>
  <c r="X25" i="61"/>
  <c r="D32" i="27"/>
  <c r="W83" i="61"/>
  <c r="T29" i="61"/>
  <c r="AB39" i="46"/>
  <c r="AC39" i="46" s="1"/>
  <c r="V79" i="45"/>
  <c r="V81" i="45" s="1"/>
  <c r="V83" i="45" s="1"/>
  <c r="Y14" i="45"/>
  <c r="AC25" i="45"/>
  <c r="Y33" i="45"/>
  <c r="X41" i="45"/>
  <c r="AB33" i="45"/>
  <c r="AA41" i="45"/>
  <c r="AA78" i="45" s="1"/>
  <c r="AA79" i="45" s="1"/>
  <c r="AA81" i="45" s="1"/>
  <c r="AA83" i="45" s="1"/>
  <c r="AA41" i="46"/>
  <c r="H19" i="27"/>
  <c r="H28" i="27"/>
  <c r="G36" i="27"/>
  <c r="D43" i="40"/>
  <c r="D35" i="27" s="1"/>
  <c r="D36" i="27" s="1"/>
  <c r="E43" i="40"/>
  <c r="E35" i="27" s="1"/>
  <c r="E36" i="27" s="1"/>
  <c r="B22" i="27"/>
  <c r="N57" i="46"/>
  <c r="O57" i="46" s="1"/>
  <c r="D72" i="54"/>
  <c r="B72" i="54"/>
  <c r="B43" i="54"/>
  <c r="F72" i="40"/>
  <c r="F30" i="40"/>
  <c r="F43" i="40" s="1"/>
  <c r="F35" i="27" s="1"/>
  <c r="N49" i="46"/>
  <c r="O49" i="46" s="1"/>
  <c r="V37" i="46"/>
  <c r="V41" i="46" s="1"/>
  <c r="B57" i="40"/>
  <c r="B72" i="40" s="1"/>
  <c r="G76" i="46"/>
  <c r="X66" i="46"/>
  <c r="Y66" i="46" s="1"/>
  <c r="H15" i="27"/>
  <c r="H34" i="27"/>
  <c r="H43" i="40"/>
  <c r="H35" i="27" s="1"/>
  <c r="H72" i="40"/>
  <c r="S29" i="59"/>
  <c r="T29" i="59" s="1"/>
  <c r="N29" i="59"/>
  <c r="O29" i="59" s="1"/>
  <c r="O25" i="59"/>
  <c r="D29" i="59"/>
  <c r="E29" i="59" s="1"/>
  <c r="I79" i="59"/>
  <c r="I81" i="59" s="1"/>
  <c r="AC14" i="59"/>
  <c r="V45" i="46"/>
  <c r="X45" i="46" s="1"/>
  <c r="Y45" i="46" s="1"/>
  <c r="W78" i="59"/>
  <c r="W79" i="59" s="1"/>
  <c r="Y44" i="59"/>
  <c r="X76" i="59"/>
  <c r="Y76" i="59" s="1"/>
  <c r="X73" i="46"/>
  <c r="Y73" i="46" s="1"/>
  <c r="Q76" i="46"/>
  <c r="Q78" i="46" s="1"/>
  <c r="V79" i="55"/>
  <c r="AC76" i="55"/>
  <c r="AC44" i="55"/>
  <c r="X76" i="55"/>
  <c r="Y76" i="55" s="1"/>
  <c r="Y44" i="55"/>
  <c r="X40" i="46"/>
  <c r="Y40" i="46" s="1"/>
  <c r="G41" i="46"/>
  <c r="AC41" i="55"/>
  <c r="X41" i="55"/>
  <c r="X78" i="55" s="1"/>
  <c r="Y33" i="55"/>
  <c r="T29" i="55"/>
  <c r="AB27" i="55"/>
  <c r="AC27" i="55" s="1"/>
  <c r="AA27" i="46"/>
  <c r="O29" i="55"/>
  <c r="W29" i="55"/>
  <c r="AB25" i="55"/>
  <c r="AC14" i="55"/>
  <c r="Y14" i="55"/>
  <c r="D29" i="55"/>
  <c r="E29" i="55" s="1"/>
  <c r="E25" i="55"/>
  <c r="L79" i="53"/>
  <c r="L81" i="53" s="1"/>
  <c r="L83" i="53" s="1"/>
  <c r="N83" i="53" s="1"/>
  <c r="W79" i="53"/>
  <c r="I29" i="53"/>
  <c r="J29" i="53" s="1"/>
  <c r="AC25" i="53"/>
  <c r="AC15" i="53"/>
  <c r="V29" i="53"/>
  <c r="Y19" i="53"/>
  <c r="N29" i="53"/>
  <c r="O29" i="53" s="1"/>
  <c r="Y15" i="53"/>
  <c r="I33" i="46"/>
  <c r="J33" i="46" s="1"/>
  <c r="X39" i="46"/>
  <c r="Y39" i="46" s="1"/>
  <c r="H41" i="46"/>
  <c r="S41" i="53"/>
  <c r="T41" i="53" s="1"/>
  <c r="T33" i="53"/>
  <c r="I41" i="53"/>
  <c r="J41" i="53" s="1"/>
  <c r="J33" i="53"/>
  <c r="S48" i="46"/>
  <c r="T48" i="46" s="1"/>
  <c r="R76" i="46"/>
  <c r="R78" i="46" s="1"/>
  <c r="R79" i="46" s="1"/>
  <c r="R81" i="46" s="1"/>
  <c r="R83" i="46" s="1"/>
  <c r="S65" i="46"/>
  <c r="T65" i="46" s="1"/>
  <c r="V58" i="46"/>
  <c r="X58" i="46" s="1"/>
  <c r="Y58" i="46" s="1"/>
  <c r="L76" i="46"/>
  <c r="L78" i="46" s="1"/>
  <c r="L79" i="46" s="1"/>
  <c r="L81" i="46" s="1"/>
  <c r="L83" i="46" s="1"/>
  <c r="X55" i="46"/>
  <c r="Y55" i="46" s="1"/>
  <c r="X71" i="46"/>
  <c r="Y71" i="46" s="1"/>
  <c r="V50" i="46"/>
  <c r="X50" i="46" s="1"/>
  <c r="Y50" i="46" s="1"/>
  <c r="X64" i="46"/>
  <c r="Y64" i="46" s="1"/>
  <c r="X69" i="46"/>
  <c r="Y69" i="46" s="1"/>
  <c r="X46" i="46"/>
  <c r="Y46" i="46" s="1"/>
  <c r="B76" i="46"/>
  <c r="B78" i="46" s="1"/>
  <c r="B79" i="46" s="1"/>
  <c r="B81" i="46" s="1"/>
  <c r="B83" i="46" s="1"/>
  <c r="X48" i="46"/>
  <c r="Y48" i="46" s="1"/>
  <c r="X74" i="46"/>
  <c r="Y74" i="46" s="1"/>
  <c r="V72" i="46"/>
  <c r="X72" i="46" s="1"/>
  <c r="Y72" i="46" s="1"/>
  <c r="D53" i="46"/>
  <c r="E53" i="46" s="1"/>
  <c r="X75" i="46"/>
  <c r="Y75" i="46" s="1"/>
  <c r="X63" i="46"/>
  <c r="Y63" i="46" s="1"/>
  <c r="X59" i="46"/>
  <c r="Y59" i="46" s="1"/>
  <c r="N74" i="46"/>
  <c r="O74" i="46" s="1"/>
  <c r="V53" i="46"/>
  <c r="V62" i="46"/>
  <c r="X62" i="46" s="1"/>
  <c r="Y62" i="46" s="1"/>
  <c r="V47" i="46"/>
  <c r="X47" i="46" s="1"/>
  <c r="Y47" i="46" s="1"/>
  <c r="V76" i="53"/>
  <c r="V60" i="46"/>
  <c r="X60" i="46" s="1"/>
  <c r="Y60" i="46" s="1"/>
  <c r="N76" i="53"/>
  <c r="O45" i="53"/>
  <c r="T76" i="53"/>
  <c r="I76" i="53"/>
  <c r="J35" i="27"/>
  <c r="J36" i="27" s="1"/>
  <c r="B30" i="40"/>
  <c r="B39" i="40"/>
  <c r="V76" i="52"/>
  <c r="Q78" i="52"/>
  <c r="Q79" i="52" s="1"/>
  <c r="Q81" i="52" s="1"/>
  <c r="Q83" i="52" s="1"/>
  <c r="W67" i="46"/>
  <c r="AB67" i="46" s="1"/>
  <c r="AC67" i="46" s="1"/>
  <c r="W65" i="46"/>
  <c r="AB65" i="46" s="1"/>
  <c r="AC65" i="46" s="1"/>
  <c r="W57" i="46"/>
  <c r="AB57" i="46" s="1"/>
  <c r="AC57" i="46" s="1"/>
  <c r="S50" i="46"/>
  <c r="T50" i="46" s="1"/>
  <c r="W38" i="46"/>
  <c r="X38" i="46" s="1"/>
  <c r="Y38" i="46" s="1"/>
  <c r="I36" i="46"/>
  <c r="J36" i="46" s="1"/>
  <c r="H76" i="46"/>
  <c r="C72" i="54"/>
  <c r="W53" i="46"/>
  <c r="AB53" i="46" s="1"/>
  <c r="AC53" i="46" s="1"/>
  <c r="I50" i="46"/>
  <c r="J50" i="46" s="1"/>
  <c r="B14" i="27"/>
  <c r="K43" i="40"/>
  <c r="K35" i="27" s="1"/>
  <c r="K36" i="27" s="1"/>
  <c r="B20" i="40"/>
  <c r="AB52" i="46"/>
  <c r="AC52" i="46" s="1"/>
  <c r="X70" i="46"/>
  <c r="Y70" i="46" s="1"/>
  <c r="X61" i="46"/>
  <c r="Y61" i="46" s="1"/>
  <c r="X68" i="46"/>
  <c r="Y68" i="46" s="1"/>
  <c r="AB60" i="46"/>
  <c r="AC60" i="46" s="1"/>
  <c r="AB74" i="46"/>
  <c r="AC74" i="46" s="1"/>
  <c r="AB58" i="46"/>
  <c r="AC58" i="46" s="1"/>
  <c r="AB34" i="46"/>
  <c r="AC34" i="46" s="1"/>
  <c r="AB66" i="46"/>
  <c r="AC66" i="46" s="1"/>
  <c r="AB75" i="46"/>
  <c r="AC75" i="46" s="1"/>
  <c r="AB69" i="46"/>
  <c r="AC69" i="46" s="1"/>
  <c r="AB59" i="46"/>
  <c r="AC59" i="46" s="1"/>
  <c r="I25" i="46"/>
  <c r="J14" i="46"/>
  <c r="D41" i="46"/>
  <c r="E41" i="46" s="1"/>
  <c r="E33" i="46"/>
  <c r="N25" i="46"/>
  <c r="N29" i="46" s="1"/>
  <c r="O29" i="46" s="1"/>
  <c r="AB72" i="46"/>
  <c r="AC72" i="46" s="1"/>
  <c r="AB63" i="46"/>
  <c r="AC63" i="46" s="1"/>
  <c r="AB40" i="46"/>
  <c r="AC40" i="46" s="1"/>
  <c r="D25" i="46"/>
  <c r="E14" i="46"/>
  <c r="AB61" i="46"/>
  <c r="AC61" i="46" s="1"/>
  <c r="AB55" i="46"/>
  <c r="AC55" i="46" s="1"/>
  <c r="X14" i="46"/>
  <c r="Y14" i="46" s="1"/>
  <c r="AC14" i="46"/>
  <c r="V25" i="46"/>
  <c r="V29" i="46" s="1"/>
  <c r="C43" i="54"/>
  <c r="E43" i="54"/>
  <c r="C43" i="40"/>
  <c r="C35" i="27" s="1"/>
  <c r="C36" i="27" s="1"/>
  <c r="F18" i="27"/>
  <c r="B21" i="27"/>
  <c r="N41" i="52"/>
  <c r="O33" i="52"/>
  <c r="S76" i="52"/>
  <c r="T76" i="52" s="1"/>
  <c r="T44" i="52"/>
  <c r="N76" i="52"/>
  <c r="O76" i="52" s="1"/>
  <c r="O44" i="52"/>
  <c r="D78" i="52"/>
  <c r="D79" i="52" s="1"/>
  <c r="E44" i="52"/>
  <c r="AB33" i="52"/>
  <c r="W41" i="52"/>
  <c r="AB50" i="46"/>
  <c r="AC50" i="46" s="1"/>
  <c r="X36" i="46"/>
  <c r="Y36" i="46" s="1"/>
  <c r="AB36" i="46"/>
  <c r="AC36" i="46" s="1"/>
  <c r="N41" i="46"/>
  <c r="O33" i="46"/>
  <c r="AB45" i="46"/>
  <c r="AC45" i="46" s="1"/>
  <c r="T44" i="46"/>
  <c r="J44" i="46"/>
  <c r="X33" i="46"/>
  <c r="AB67" i="52"/>
  <c r="AC67" i="52" s="1"/>
  <c r="Y67" i="52"/>
  <c r="AB65" i="52"/>
  <c r="AC65" i="52" s="1"/>
  <c r="Y65" i="52"/>
  <c r="W76" i="52"/>
  <c r="AB44" i="52"/>
  <c r="S41" i="52"/>
  <c r="T33" i="52"/>
  <c r="J33" i="52"/>
  <c r="J44" i="52"/>
  <c r="AB62" i="46"/>
  <c r="AC62" i="46" s="1"/>
  <c r="AB56" i="46"/>
  <c r="AC56" i="46" s="1"/>
  <c r="X56" i="46"/>
  <c r="Y56" i="46" s="1"/>
  <c r="AB49" i="46"/>
  <c r="AC49" i="46" s="1"/>
  <c r="AB47" i="46"/>
  <c r="AC47" i="46" s="1"/>
  <c r="X44" i="46"/>
  <c r="AB37" i="46"/>
  <c r="AC37" i="46" s="1"/>
  <c r="S41" i="46"/>
  <c r="T33" i="46"/>
  <c r="O44" i="46"/>
  <c r="E44" i="46"/>
  <c r="J31" i="27" l="1"/>
  <c r="J30" i="27"/>
  <c r="F15" i="27"/>
  <c r="H31" i="27"/>
  <c r="H30" i="27"/>
  <c r="W79" i="55"/>
  <c r="E31" i="27" s="1"/>
  <c r="E30" i="27"/>
  <c r="L30" i="27"/>
  <c r="L32" i="27" s="1"/>
  <c r="L31" i="27"/>
  <c r="I31" i="27"/>
  <c r="I30" i="27"/>
  <c r="G30" i="27"/>
  <c r="G31" i="27"/>
  <c r="G32" i="27" s="1"/>
  <c r="M31" i="27"/>
  <c r="M32" i="27" s="1"/>
  <c r="M30" i="27"/>
  <c r="B43" i="40"/>
  <c r="W81" i="53"/>
  <c r="W83" i="53" s="1"/>
  <c r="W81" i="55"/>
  <c r="W83" i="55" s="1"/>
  <c r="X79" i="61"/>
  <c r="B18" i="27"/>
  <c r="F19" i="27"/>
  <c r="AC76" i="45"/>
  <c r="S79" i="55"/>
  <c r="S81" i="55" s="1"/>
  <c r="T83" i="55" s="1"/>
  <c r="Q79" i="46"/>
  <c r="Q81" i="46" s="1"/>
  <c r="Q83" i="46" s="1"/>
  <c r="S83" i="46" s="1"/>
  <c r="T83" i="46" s="1"/>
  <c r="S25" i="46"/>
  <c r="S29" i="46" s="1"/>
  <c r="T29" i="46" s="1"/>
  <c r="W25" i="46"/>
  <c r="W29" i="46" s="1"/>
  <c r="T25" i="53"/>
  <c r="S29" i="53"/>
  <c r="AB24" i="46"/>
  <c r="AC24" i="46" s="1"/>
  <c r="X78" i="68"/>
  <c r="Y78" i="68" s="1"/>
  <c r="AB78" i="68"/>
  <c r="AC78" i="68" s="1"/>
  <c r="I83" i="68"/>
  <c r="O83" i="68"/>
  <c r="T83" i="59"/>
  <c r="AB78" i="53"/>
  <c r="J25" i="68"/>
  <c r="I29" i="68"/>
  <c r="J29" i="68" s="1"/>
  <c r="I79" i="68"/>
  <c r="I81" i="68" s="1"/>
  <c r="E83" i="53"/>
  <c r="N79" i="59"/>
  <c r="N81" i="59" s="1"/>
  <c r="O83" i="59"/>
  <c r="I79" i="55"/>
  <c r="I81" i="55" s="1"/>
  <c r="N79" i="67"/>
  <c r="N81" i="67" s="1"/>
  <c r="O83" i="67" s="1"/>
  <c r="V78" i="53"/>
  <c r="V79" i="53" s="1"/>
  <c r="V81" i="53" s="1"/>
  <c r="V83" i="53" s="1"/>
  <c r="Y41" i="53"/>
  <c r="J83" i="59"/>
  <c r="I83" i="52"/>
  <c r="S83" i="52"/>
  <c r="N83" i="52"/>
  <c r="B13" i="27"/>
  <c r="B15" i="27" s="1"/>
  <c r="J83" i="55"/>
  <c r="D79" i="45"/>
  <c r="D81" i="45" s="1"/>
  <c r="E83" i="45" s="1"/>
  <c r="I79" i="67"/>
  <c r="I81" i="67" s="1"/>
  <c r="J83" i="67" s="1"/>
  <c r="S78" i="53"/>
  <c r="T78" i="53" s="1"/>
  <c r="X76" i="53"/>
  <c r="Y76" i="53" s="1"/>
  <c r="E78" i="53"/>
  <c r="N79" i="55"/>
  <c r="N81" i="55" s="1"/>
  <c r="O83" i="55" s="1"/>
  <c r="E83" i="55"/>
  <c r="O78" i="45"/>
  <c r="N79" i="45"/>
  <c r="N81" i="45" s="1"/>
  <c r="O83" i="45" s="1"/>
  <c r="J78" i="45"/>
  <c r="I79" i="45"/>
  <c r="I81" i="45" s="1"/>
  <c r="T83" i="61"/>
  <c r="T78" i="58"/>
  <c r="S79" i="58"/>
  <c r="S81" i="58" s="1"/>
  <c r="T83" i="58" s="1"/>
  <c r="I79" i="61"/>
  <c r="I81" i="61" s="1"/>
  <c r="J83" i="61" s="1"/>
  <c r="E78" i="67"/>
  <c r="D79" i="67"/>
  <c r="D81" i="67" s="1"/>
  <c r="E83" i="67" s="1"/>
  <c r="S79" i="67"/>
  <c r="S81" i="67" s="1"/>
  <c r="T83" i="67" s="1"/>
  <c r="W81" i="67"/>
  <c r="W83" i="67" s="1"/>
  <c r="X83" i="67" s="1"/>
  <c r="X29" i="58"/>
  <c r="Y29" i="58" s="1"/>
  <c r="O78" i="58"/>
  <c r="N79" i="58"/>
  <c r="N81" i="58" s="1"/>
  <c r="O83" i="58" s="1"/>
  <c r="D79" i="59"/>
  <c r="D81" i="59" s="1"/>
  <c r="E83" i="59" s="1"/>
  <c r="J76" i="52"/>
  <c r="O78" i="48"/>
  <c r="N79" i="48"/>
  <c r="N81" i="48" s="1"/>
  <c r="O83" i="48" s="1"/>
  <c r="I79" i="48"/>
  <c r="I81" i="48" s="1"/>
  <c r="J83" i="48" s="1"/>
  <c r="X78" i="48"/>
  <c r="X79" i="48" s="1"/>
  <c r="X81" i="48" s="1"/>
  <c r="D79" i="48"/>
  <c r="D81" i="48" s="1"/>
  <c r="D83" i="48" s="1"/>
  <c r="E83" i="48" s="1"/>
  <c r="B34" i="27"/>
  <c r="F36" i="27"/>
  <c r="X79" i="68"/>
  <c r="X29" i="68"/>
  <c r="Y29" i="68" s="1"/>
  <c r="Y25" i="68"/>
  <c r="W81" i="68"/>
  <c r="W83" i="68" s="1"/>
  <c r="X83" i="68" s="1"/>
  <c r="Y83" i="68" s="1"/>
  <c r="Y25" i="67"/>
  <c r="AB78" i="67"/>
  <c r="AC78" i="67" s="1"/>
  <c r="AC41" i="67"/>
  <c r="Y41" i="67"/>
  <c r="X78" i="67"/>
  <c r="Y78" i="67" s="1"/>
  <c r="J25" i="53"/>
  <c r="AA78" i="46"/>
  <c r="AA79" i="46" s="1"/>
  <c r="AA81" i="46" s="1"/>
  <c r="AA83" i="46" s="1"/>
  <c r="Y33" i="53"/>
  <c r="J78" i="58"/>
  <c r="I79" i="58"/>
  <c r="I81" i="58" s="1"/>
  <c r="J83" i="58" s="1"/>
  <c r="E78" i="58"/>
  <c r="D79" i="58"/>
  <c r="D81" i="58" s="1"/>
  <c r="E83" i="58" s="1"/>
  <c r="AC41" i="58"/>
  <c r="AB78" i="58"/>
  <c r="AC78" i="58" s="1"/>
  <c r="Y41" i="58"/>
  <c r="X78" i="58"/>
  <c r="AC25" i="58"/>
  <c r="I32" i="27"/>
  <c r="W81" i="58"/>
  <c r="W83" i="58" s="1"/>
  <c r="X83" i="58" s="1"/>
  <c r="AB78" i="59"/>
  <c r="AC78" i="59" s="1"/>
  <c r="AB78" i="48"/>
  <c r="AC76" i="48"/>
  <c r="S79" i="48"/>
  <c r="S81" i="48" s="1"/>
  <c r="T83" i="48" s="1"/>
  <c r="Y25" i="48"/>
  <c r="X29" i="48"/>
  <c r="Y29" i="48" s="1"/>
  <c r="W81" i="48"/>
  <c r="W83" i="48" s="1"/>
  <c r="X83" i="48" s="1"/>
  <c r="V78" i="52"/>
  <c r="V79" i="52" s="1"/>
  <c r="V81" i="52" s="1"/>
  <c r="V83" i="52" s="1"/>
  <c r="L83" i="61"/>
  <c r="O83" i="61" s="1"/>
  <c r="E78" i="45"/>
  <c r="AB35" i="46"/>
  <c r="AC35" i="46" s="1"/>
  <c r="X29" i="52"/>
  <c r="Y29" i="52" s="1"/>
  <c r="Y25" i="52"/>
  <c r="AA29" i="46"/>
  <c r="N76" i="46"/>
  <c r="O76" i="46" s="1"/>
  <c r="D79" i="61"/>
  <c r="D81" i="61" s="1"/>
  <c r="E83" i="61" s="1"/>
  <c r="X65" i="46"/>
  <c r="Y65" i="46" s="1"/>
  <c r="X37" i="46"/>
  <c r="Y37" i="46" s="1"/>
  <c r="V81" i="55"/>
  <c r="V83" i="55" s="1"/>
  <c r="Y41" i="61"/>
  <c r="AB78" i="61"/>
  <c r="AC78" i="61" s="1"/>
  <c r="Y25" i="61"/>
  <c r="X29" i="61"/>
  <c r="Y29" i="61" s="1"/>
  <c r="X29" i="45"/>
  <c r="Y29" i="45" s="1"/>
  <c r="Y25" i="45"/>
  <c r="AB41" i="45"/>
  <c r="AB78" i="45" s="1"/>
  <c r="AC33" i="45"/>
  <c r="X78" i="45"/>
  <c r="Y41" i="45"/>
  <c r="AB33" i="46"/>
  <c r="AC33" i="46" s="1"/>
  <c r="H78" i="46"/>
  <c r="H79" i="46" s="1"/>
  <c r="H81" i="46" s="1"/>
  <c r="H83" i="46" s="1"/>
  <c r="I41" i="46"/>
  <c r="J41" i="46" s="1"/>
  <c r="G78" i="46"/>
  <c r="G79" i="46" s="1"/>
  <c r="G81" i="46" s="1"/>
  <c r="G83" i="46" s="1"/>
  <c r="H36" i="27"/>
  <c r="AC25" i="59"/>
  <c r="X29" i="59"/>
  <c r="Y29" i="59" s="1"/>
  <c r="X78" i="59"/>
  <c r="Y78" i="59" s="1"/>
  <c r="W81" i="59"/>
  <c r="W83" i="59" s="1"/>
  <c r="X83" i="59" s="1"/>
  <c r="H32" i="27"/>
  <c r="D76" i="46"/>
  <c r="D78" i="46" s="1"/>
  <c r="O25" i="46"/>
  <c r="B35" i="27"/>
  <c r="AB78" i="55"/>
  <c r="AC78" i="55" s="1"/>
  <c r="Y41" i="55"/>
  <c r="AB29" i="55"/>
  <c r="AC29" i="55" s="1"/>
  <c r="X29" i="55"/>
  <c r="Y29" i="55" s="1"/>
  <c r="Y25" i="55"/>
  <c r="AC25" i="55"/>
  <c r="T29" i="53"/>
  <c r="J32" i="27"/>
  <c r="S76" i="46"/>
  <c r="T76" i="46" s="1"/>
  <c r="X53" i="46"/>
  <c r="Y53" i="46" s="1"/>
  <c r="J76" i="53"/>
  <c r="I78" i="53"/>
  <c r="I79" i="53" s="1"/>
  <c r="O76" i="53"/>
  <c r="N78" i="53"/>
  <c r="V76" i="46"/>
  <c r="V78" i="46" s="1"/>
  <c r="V79" i="46" s="1"/>
  <c r="V81" i="46" s="1"/>
  <c r="V83" i="46" s="1"/>
  <c r="X57" i="46"/>
  <c r="Y57" i="46" s="1"/>
  <c r="X67" i="46"/>
  <c r="Y67" i="46" s="1"/>
  <c r="W76" i="46"/>
  <c r="W41" i="46"/>
  <c r="N83" i="46"/>
  <c r="O83" i="46" s="1"/>
  <c r="AB38" i="46"/>
  <c r="AC38" i="46" s="1"/>
  <c r="I76" i="46"/>
  <c r="J76" i="46" s="1"/>
  <c r="D83" i="46"/>
  <c r="E83" i="46" s="1"/>
  <c r="D29" i="46"/>
  <c r="E29" i="46" s="1"/>
  <c r="E25" i="46"/>
  <c r="AB76" i="46"/>
  <c r="AC76" i="46" s="1"/>
  <c r="I29" i="46"/>
  <c r="J29" i="46" s="1"/>
  <c r="J25" i="46"/>
  <c r="X25" i="46"/>
  <c r="F28" i="27"/>
  <c r="B25" i="27"/>
  <c r="B28" i="27" s="1"/>
  <c r="B23" i="27"/>
  <c r="F23" i="27"/>
  <c r="B17" i="27"/>
  <c r="B19" i="27" s="1"/>
  <c r="T41" i="46"/>
  <c r="J41" i="52"/>
  <c r="S78" i="52"/>
  <c r="T41" i="52"/>
  <c r="AB76" i="52"/>
  <c r="AC76" i="52" s="1"/>
  <c r="AC44" i="52"/>
  <c r="W78" i="52"/>
  <c r="W79" i="52" s="1"/>
  <c r="AB41" i="52"/>
  <c r="AC33" i="52"/>
  <c r="E76" i="52"/>
  <c r="N78" i="52"/>
  <c r="O41" i="52"/>
  <c r="Y44" i="46"/>
  <c r="X76" i="52"/>
  <c r="Y76" i="52" s="1"/>
  <c r="Y44" i="52"/>
  <c r="Y33" i="46"/>
  <c r="O41" i="46"/>
  <c r="X41" i="52"/>
  <c r="Y33" i="52"/>
  <c r="X83" i="53" l="1"/>
  <c r="AB79" i="68"/>
  <c r="AB81" i="68" s="1"/>
  <c r="AB83" i="68" s="1"/>
  <c r="AC83" i="68" s="1"/>
  <c r="F30" i="27"/>
  <c r="B30" i="27" s="1"/>
  <c r="F31" i="27"/>
  <c r="T25" i="46"/>
  <c r="AB79" i="61"/>
  <c r="AB29" i="46"/>
  <c r="AC29" i="46" s="1"/>
  <c r="AC78" i="53"/>
  <c r="AB79" i="53"/>
  <c r="AB81" i="53" s="1"/>
  <c r="AB83" i="53" s="1"/>
  <c r="AC83" i="53" s="1"/>
  <c r="AB25" i="46"/>
  <c r="AC25" i="46" s="1"/>
  <c r="Y25" i="53"/>
  <c r="X79" i="53"/>
  <c r="X81" i="68"/>
  <c r="Y81" i="68" s="1"/>
  <c r="Y79" i="68"/>
  <c r="J83" i="68"/>
  <c r="X78" i="53"/>
  <c r="Y78" i="53" s="1"/>
  <c r="S79" i="53"/>
  <c r="S81" i="53" s="1"/>
  <c r="T83" i="53" s="1"/>
  <c r="X83" i="55"/>
  <c r="Y83" i="55" s="1"/>
  <c r="X79" i="45"/>
  <c r="X81" i="45" s="1"/>
  <c r="J83" i="45"/>
  <c r="Y78" i="61"/>
  <c r="X81" i="61"/>
  <c r="Y83" i="48"/>
  <c r="AB79" i="67"/>
  <c r="AB81" i="67" s="1"/>
  <c r="AB83" i="67" s="1"/>
  <c r="AC83" i="67" s="1"/>
  <c r="AB79" i="59"/>
  <c r="AB81" i="59" s="1"/>
  <c r="AB83" i="59" s="1"/>
  <c r="AC83" i="59" s="1"/>
  <c r="Y78" i="48"/>
  <c r="B36" i="27"/>
  <c r="X79" i="67"/>
  <c r="X81" i="67" s="1"/>
  <c r="Y83" i="67" s="1"/>
  <c r="X29" i="53"/>
  <c r="Y29" i="53" s="1"/>
  <c r="AB79" i="58"/>
  <c r="AB81" i="58" s="1"/>
  <c r="AB83" i="58" s="1"/>
  <c r="AC83" i="58" s="1"/>
  <c r="Y78" i="58"/>
  <c r="X79" i="58"/>
  <c r="X81" i="58" s="1"/>
  <c r="Y83" i="58" s="1"/>
  <c r="AC78" i="48"/>
  <c r="AB79" i="48"/>
  <c r="AB81" i="48" s="1"/>
  <c r="AB83" i="48" s="1"/>
  <c r="AC83" i="48" s="1"/>
  <c r="E32" i="27"/>
  <c r="E76" i="46"/>
  <c r="N78" i="46"/>
  <c r="N79" i="46" s="1"/>
  <c r="N81" i="46" s="1"/>
  <c r="X41" i="46"/>
  <c r="Y41" i="46" s="1"/>
  <c r="I83" i="46"/>
  <c r="J83" i="46" s="1"/>
  <c r="AB81" i="61"/>
  <c r="Y78" i="45"/>
  <c r="AB79" i="45"/>
  <c r="AC41" i="45"/>
  <c r="X79" i="59"/>
  <c r="X81" i="59" s="1"/>
  <c r="Y83" i="59" s="1"/>
  <c r="S78" i="46"/>
  <c r="S79" i="46" s="1"/>
  <c r="S81" i="46" s="1"/>
  <c r="AB79" i="55"/>
  <c r="AB81" i="55" s="1"/>
  <c r="AB83" i="55" s="1"/>
  <c r="X79" i="55"/>
  <c r="X81" i="55" s="1"/>
  <c r="Y78" i="55"/>
  <c r="AB41" i="46"/>
  <c r="AC41" i="46" s="1"/>
  <c r="W78" i="46"/>
  <c r="W79" i="46" s="1"/>
  <c r="W81" i="46" s="1"/>
  <c r="W83" i="46" s="1"/>
  <c r="X83" i="46" s="1"/>
  <c r="Y83" i="46" s="1"/>
  <c r="O78" i="53"/>
  <c r="N79" i="53"/>
  <c r="N81" i="53" s="1"/>
  <c r="O83" i="53" s="1"/>
  <c r="J78" i="53"/>
  <c r="I81" i="53"/>
  <c r="J83" i="53" s="1"/>
  <c r="X76" i="46"/>
  <c r="Y76" i="46" s="1"/>
  <c r="I78" i="46"/>
  <c r="I79" i="46" s="1"/>
  <c r="I81" i="46" s="1"/>
  <c r="Y25" i="46"/>
  <c r="X29" i="46"/>
  <c r="Y29" i="46" s="1"/>
  <c r="W81" i="52"/>
  <c r="W83" i="52" s="1"/>
  <c r="X83" i="52" s="1"/>
  <c r="X78" i="52"/>
  <c r="Y41" i="52"/>
  <c r="N79" i="52"/>
  <c r="N81" i="52" s="1"/>
  <c r="O83" i="52" s="1"/>
  <c r="O78" i="52"/>
  <c r="D81" i="52"/>
  <c r="E83" i="52" s="1"/>
  <c r="E78" i="52"/>
  <c r="AB78" i="52"/>
  <c r="AB79" i="52" s="1"/>
  <c r="AC41" i="52"/>
  <c r="T78" i="52"/>
  <c r="S79" i="52"/>
  <c r="S81" i="52" s="1"/>
  <c r="T83" i="52" s="1"/>
  <c r="I79" i="52"/>
  <c r="I81" i="52" s="1"/>
  <c r="J83" i="52" s="1"/>
  <c r="J78" i="52"/>
  <c r="E78" i="46"/>
  <c r="D79" i="46"/>
  <c r="D81" i="46" s="1"/>
  <c r="X81" i="53" l="1"/>
  <c r="Y83" i="53" s="1"/>
  <c r="X83" i="61"/>
  <c r="Y83" i="61" s="1"/>
  <c r="AB83" i="61"/>
  <c r="AC83" i="61" s="1"/>
  <c r="AC83" i="55"/>
  <c r="AC81" i="55"/>
  <c r="O78" i="46"/>
  <c r="T78" i="46"/>
  <c r="AB81" i="45"/>
  <c r="AB83" i="45" s="1"/>
  <c r="AC83" i="45" s="1"/>
  <c r="AC78" i="45"/>
  <c r="X78" i="46"/>
  <c r="X79" i="46" s="1"/>
  <c r="X81" i="46" s="1"/>
  <c r="J78" i="46"/>
  <c r="AB78" i="46"/>
  <c r="AC78" i="46" s="1"/>
  <c r="F32" i="27"/>
  <c r="AB81" i="52"/>
  <c r="AC78" i="52"/>
  <c r="Y78" i="52"/>
  <c r="X79" i="52"/>
  <c r="X81" i="52" s="1"/>
  <c r="Y83" i="52" s="1"/>
  <c r="AB83" i="52" l="1"/>
  <c r="AC83" i="52" s="1"/>
  <c r="Y78" i="46"/>
  <c r="AB79" i="46"/>
  <c r="AB81" i="46" s="1"/>
  <c r="AB83" i="46" s="1"/>
  <c r="AC83" i="46" s="1"/>
  <c r="B72" i="57"/>
  <c r="T29" i="65" l="1"/>
  <c r="Q81" i="65"/>
  <c r="Q83" i="65" s="1"/>
  <c r="B83" i="68"/>
  <c r="D83" i="68" s="1"/>
  <c r="E83" i="68" s="1"/>
  <c r="S83" i="65" l="1"/>
  <c r="T83" i="65" s="1"/>
  <c r="W81" i="45"/>
  <c r="W83" i="45" s="1"/>
  <c r="X83" i="45" s="1"/>
  <c r="Y83" i="45" s="1"/>
  <c r="C32" i="27"/>
  <c r="B32" i="27" s="1"/>
  <c r="B31"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Marisa Harding Hodge</author>
  </authors>
  <commentList>
    <comment ref="A82" authorId="0" shapeId="0" xr:uid="{00000000-0006-0000-0100-000001000000}">
      <text>
        <r>
          <rPr>
            <b/>
            <sz val="9"/>
            <color indexed="81"/>
            <rFont val="Tahoma"/>
            <family val="2"/>
          </rPr>
          <t>Marisa Harding Hodge:</t>
        </r>
        <r>
          <rPr>
            <sz val="9"/>
            <color indexed="81"/>
            <rFont val="Tahoma"/>
            <family val="2"/>
          </rPr>
          <t xml:space="preserve">
This is for transfers of surpluses back to Government. Not for subvention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Marisa Harding Hodge</author>
  </authors>
  <commentList>
    <comment ref="A82" authorId="0" shapeId="0" xr:uid="{00000000-0006-0000-1400-000001000000}">
      <text>
        <r>
          <rPr>
            <b/>
            <sz val="9"/>
            <color indexed="81"/>
            <rFont val="Tahoma"/>
            <family val="2"/>
          </rPr>
          <t>Marisa Harding Hodge:</t>
        </r>
        <r>
          <rPr>
            <sz val="9"/>
            <color indexed="81"/>
            <rFont val="Tahoma"/>
            <family val="2"/>
          </rPr>
          <t xml:space="preserve">
This is for transfers of surpluses back to Government. Not for subvention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Marisa Harding Hodge</author>
  </authors>
  <commentList>
    <comment ref="A82" authorId="0" shapeId="0" xr:uid="{00000000-0006-0000-1600-000001000000}">
      <text>
        <r>
          <rPr>
            <b/>
            <sz val="9"/>
            <color indexed="81"/>
            <rFont val="Tahoma"/>
            <family val="2"/>
          </rPr>
          <t>Marisa Harding Hodge:</t>
        </r>
        <r>
          <rPr>
            <sz val="9"/>
            <color indexed="81"/>
            <rFont val="Tahoma"/>
            <family val="2"/>
          </rPr>
          <t xml:space="preserve">
This is for transfers of surpluses back to Government. Not for subvention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Marisa Harding Hodge</author>
  </authors>
  <commentList>
    <comment ref="A82" authorId="0" shapeId="0" xr:uid="{00000000-0006-0000-1800-000001000000}">
      <text>
        <r>
          <rPr>
            <b/>
            <sz val="9"/>
            <color indexed="81"/>
            <rFont val="Tahoma"/>
            <family val="2"/>
          </rPr>
          <t>Marisa Harding Hodge:</t>
        </r>
        <r>
          <rPr>
            <sz val="9"/>
            <color indexed="81"/>
            <rFont val="Tahoma"/>
            <family val="2"/>
          </rPr>
          <t xml:space="preserve">
This is for transfers of surpluses back to Government. Not for subvention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Marisa Harding Hodge</author>
  </authors>
  <commentList>
    <comment ref="A82" authorId="0" shapeId="0" xr:uid="{00000000-0006-0000-0400-000001000000}">
      <text>
        <r>
          <rPr>
            <b/>
            <sz val="9"/>
            <color indexed="81"/>
            <rFont val="Tahoma"/>
            <family val="2"/>
          </rPr>
          <t>Marisa Harding Hodge:</t>
        </r>
        <r>
          <rPr>
            <sz val="9"/>
            <color indexed="81"/>
            <rFont val="Tahoma"/>
            <family val="2"/>
          </rPr>
          <t xml:space="preserve">
This is for transfers of surpluses back to Government. Not for subvention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Marisa Harding Hodge</author>
  </authors>
  <commentList>
    <comment ref="A82" authorId="0" shapeId="0" xr:uid="{00000000-0006-0000-0600-000001000000}">
      <text>
        <r>
          <rPr>
            <b/>
            <sz val="9"/>
            <color indexed="81"/>
            <rFont val="Tahoma"/>
            <family val="2"/>
          </rPr>
          <t>Marisa Harding Hodge:</t>
        </r>
        <r>
          <rPr>
            <sz val="9"/>
            <color indexed="81"/>
            <rFont val="Tahoma"/>
            <family val="2"/>
          </rPr>
          <t xml:space="preserve">
This is for transfers of surpluses back to Government. Not for subvention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Marisa Harding Hodge</author>
  </authors>
  <commentList>
    <comment ref="A82" authorId="0" shapeId="0" xr:uid="{00000000-0006-0000-0800-000001000000}">
      <text>
        <r>
          <rPr>
            <b/>
            <sz val="9"/>
            <color indexed="81"/>
            <rFont val="Tahoma"/>
            <family val="2"/>
          </rPr>
          <t>Marisa Harding Hodge:</t>
        </r>
        <r>
          <rPr>
            <sz val="9"/>
            <color indexed="81"/>
            <rFont val="Tahoma"/>
            <family val="2"/>
          </rPr>
          <t xml:space="preserve">
This is for transfers of surpluses back to Government. Not for subvention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Marisa Harding Hodge</author>
  </authors>
  <commentList>
    <comment ref="A82" authorId="0" shapeId="0" xr:uid="{00000000-0006-0000-0A00-000001000000}">
      <text>
        <r>
          <rPr>
            <b/>
            <sz val="9"/>
            <color indexed="81"/>
            <rFont val="Tahoma"/>
            <family val="2"/>
          </rPr>
          <t>Marisa Harding Hodge:</t>
        </r>
        <r>
          <rPr>
            <sz val="9"/>
            <color indexed="81"/>
            <rFont val="Tahoma"/>
            <family val="2"/>
          </rPr>
          <t xml:space="preserve">
This is for transfers of surpluses back to Government. Not for subvention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Marisa Harding Hodge</author>
  </authors>
  <commentList>
    <comment ref="A82" authorId="0" shapeId="0" xr:uid="{00000000-0006-0000-0C00-000001000000}">
      <text>
        <r>
          <rPr>
            <b/>
            <sz val="9"/>
            <color indexed="81"/>
            <rFont val="Tahoma"/>
            <family val="2"/>
          </rPr>
          <t>Marisa Harding Hodge:</t>
        </r>
        <r>
          <rPr>
            <sz val="9"/>
            <color indexed="81"/>
            <rFont val="Tahoma"/>
            <family val="2"/>
          </rPr>
          <t xml:space="preserve">
This is for transfers of surpluses back to Government. Not for subvention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Marisa Harding Hodge</author>
  </authors>
  <commentList>
    <comment ref="A82" authorId="0" shapeId="0" xr:uid="{00000000-0006-0000-0E00-000001000000}">
      <text>
        <r>
          <rPr>
            <b/>
            <sz val="9"/>
            <color indexed="81"/>
            <rFont val="Tahoma"/>
            <family val="2"/>
          </rPr>
          <t>Marisa Harding Hodge:</t>
        </r>
        <r>
          <rPr>
            <sz val="9"/>
            <color indexed="81"/>
            <rFont val="Tahoma"/>
            <family val="2"/>
          </rPr>
          <t xml:space="preserve">
This is for transfers of surpluses back to Government. Not for subvention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Marisa Harding Hodge</author>
  </authors>
  <commentList>
    <comment ref="A82" authorId="0" shapeId="0" xr:uid="{00000000-0006-0000-1000-000001000000}">
      <text>
        <r>
          <rPr>
            <b/>
            <sz val="9"/>
            <color indexed="81"/>
            <rFont val="Tahoma"/>
            <family val="2"/>
          </rPr>
          <t>Marisa Harding Hodge:</t>
        </r>
        <r>
          <rPr>
            <sz val="9"/>
            <color indexed="81"/>
            <rFont val="Tahoma"/>
            <family val="2"/>
          </rPr>
          <t xml:space="preserve">
This is for transfers of surpluses back to Government. Not for subvention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Marisa Harding Hodge</author>
  </authors>
  <commentList>
    <comment ref="A82" authorId="0" shapeId="0" xr:uid="{00000000-0006-0000-1200-000001000000}">
      <text>
        <r>
          <rPr>
            <b/>
            <sz val="9"/>
            <color indexed="81"/>
            <rFont val="Tahoma"/>
            <family val="2"/>
          </rPr>
          <t>Marisa Harding Hodge:</t>
        </r>
        <r>
          <rPr>
            <sz val="9"/>
            <color indexed="81"/>
            <rFont val="Tahoma"/>
            <family val="2"/>
          </rPr>
          <t xml:space="preserve">
This is for transfers of surpluses back to Government. Not for subvention</t>
        </r>
      </text>
    </comment>
  </commentList>
</comments>
</file>

<file path=xl/sharedStrings.xml><?xml version="1.0" encoding="utf-8"?>
<sst xmlns="http://schemas.openxmlformats.org/spreadsheetml/2006/main" count="2394" uniqueCount="240">
  <si>
    <t>STATEMENT OF FINANCIAL POSITION</t>
  </si>
  <si>
    <t xml:space="preserve">As at the Quarter ending </t>
  </si>
  <si>
    <t>UNAUDITED</t>
  </si>
  <si>
    <t>Qtr 4</t>
  </si>
  <si>
    <t>ASSETS</t>
  </si>
  <si>
    <t>Current Assets</t>
  </si>
  <si>
    <t>Cash and Cash Equivalents</t>
  </si>
  <si>
    <t>Trade Receivables</t>
  </si>
  <si>
    <t>Prepayments</t>
  </si>
  <si>
    <t>Staff Advances</t>
  </si>
  <si>
    <t>Other Receivables</t>
  </si>
  <si>
    <t>Inventories</t>
  </si>
  <si>
    <t>Total Current Assets</t>
  </si>
  <si>
    <t>Investments</t>
  </si>
  <si>
    <t>Property</t>
  </si>
  <si>
    <t>Bonds</t>
  </si>
  <si>
    <t>Stocks</t>
  </si>
  <si>
    <t>Long term Bank Deposits</t>
  </si>
  <si>
    <t>Others</t>
  </si>
  <si>
    <t>Total Investments</t>
  </si>
  <si>
    <t>Fixed Assets (Property, Plant &amp; Equipment)</t>
  </si>
  <si>
    <t>Buildings and Improvements</t>
  </si>
  <si>
    <t>Furniture &amp; Fittings</t>
  </si>
  <si>
    <t>Office equipment</t>
  </si>
  <si>
    <t>Computer Equipment</t>
  </si>
  <si>
    <t>Motor Vehicles</t>
  </si>
  <si>
    <t>Other Plant &amp; Equipment</t>
  </si>
  <si>
    <t>Total Property, Plant &amp; Equipment</t>
  </si>
  <si>
    <t>Intangible Assets</t>
  </si>
  <si>
    <t>TOTAL ASSETS</t>
  </si>
  <si>
    <t>EQUITY AND LIABILITIES</t>
  </si>
  <si>
    <t>Current Liabilities</t>
  </si>
  <si>
    <t>Accounts Payables</t>
  </si>
  <si>
    <t>Other Stat Body</t>
  </si>
  <si>
    <t>Other Commercial</t>
  </si>
  <si>
    <t>Accruals</t>
  </si>
  <si>
    <t>Borrowing - Short term</t>
  </si>
  <si>
    <t>Deferred Income</t>
  </si>
  <si>
    <t>Total Current Liabilities</t>
  </si>
  <si>
    <t>Long Term liabilities</t>
  </si>
  <si>
    <t>Other</t>
  </si>
  <si>
    <t>Total Long Term Liabilities</t>
  </si>
  <si>
    <t xml:space="preserve">Equity </t>
  </si>
  <si>
    <t>Capital/Reserve Fund</t>
  </si>
  <si>
    <t>Loan Redemption Sinking Fund</t>
  </si>
  <si>
    <t>Other reserves</t>
  </si>
  <si>
    <t>Retained Surplus for the year</t>
  </si>
  <si>
    <t>Total Equity</t>
  </si>
  <si>
    <t>TOTAL LIABILITIES AND EQUITY</t>
  </si>
  <si>
    <t>GOVERNMENT OF ANGUILLA</t>
  </si>
  <si>
    <t>ASSB</t>
  </si>
  <si>
    <t>STATEMENT OF COMPREHENSIVE INCOME</t>
  </si>
  <si>
    <t xml:space="preserve">For the Quarter ending </t>
  </si>
  <si>
    <t>Quarter 1</t>
  </si>
  <si>
    <t>Quarter 2</t>
  </si>
  <si>
    <t>Quarter 3</t>
  </si>
  <si>
    <t>Quarter 4</t>
  </si>
  <si>
    <t>YEAR TO DATE</t>
  </si>
  <si>
    <t>Note reference to support the accompanying report on financial performance for the quarter.</t>
  </si>
  <si>
    <t>Description</t>
  </si>
  <si>
    <t>Budget</t>
  </si>
  <si>
    <t>Actual</t>
  </si>
  <si>
    <t>Variance Fav/(Unfav)</t>
  </si>
  <si>
    <t>Budget / Estimate</t>
  </si>
  <si>
    <t>Budget Remaining</t>
  </si>
  <si>
    <t>%</t>
  </si>
  <si>
    <t>INCOME</t>
  </si>
  <si>
    <t>Sale of Goods</t>
  </si>
  <si>
    <t>Rental Income</t>
  </si>
  <si>
    <t>Interest Income</t>
  </si>
  <si>
    <t>Donations and Other Grants</t>
  </si>
  <si>
    <t>Other Operational Income</t>
  </si>
  <si>
    <t>Transactions between Statutory Bodies</t>
  </si>
  <si>
    <t>Total Operational Income</t>
  </si>
  <si>
    <t>Capital Grants</t>
  </si>
  <si>
    <t>Total Income and Grants</t>
  </si>
  <si>
    <t>EXPENDITURE</t>
  </si>
  <si>
    <t>Personnel Costs</t>
  </si>
  <si>
    <t>Salaries</t>
  </si>
  <si>
    <t>Wages</t>
  </si>
  <si>
    <t>Allowances</t>
  </si>
  <si>
    <t>Pension and Gratuities</t>
  </si>
  <si>
    <t>Directors' fees and expenses</t>
  </si>
  <si>
    <t>Total Personnel Costs</t>
  </si>
  <si>
    <t>Operational Expenditure</t>
  </si>
  <si>
    <t>Advertising and Promotions</t>
  </si>
  <si>
    <t>Bank Charges</t>
  </si>
  <si>
    <t>Board Expenses</t>
  </si>
  <si>
    <t>Communications Expenses</t>
  </si>
  <si>
    <t>Computer License Software and Hardware Maintenance</t>
  </si>
  <si>
    <t>Expenditure paid to other Government Entities</t>
  </si>
  <si>
    <t>Hosting and Entertainment</t>
  </si>
  <si>
    <t>Insurance</t>
  </si>
  <si>
    <t>International Travel and Subsistence</t>
  </si>
  <si>
    <t>Local Travel and Subsistence</t>
  </si>
  <si>
    <t>Maintenance Expenses</t>
  </si>
  <si>
    <t>Office Expenses</t>
  </si>
  <si>
    <t>Subscriptions and Contributions</t>
  </si>
  <si>
    <t>Subscriptions, Periodicals, Books, etc.</t>
  </si>
  <si>
    <t>Training</t>
  </si>
  <si>
    <t>Uniforms &amp; Protective Clothing</t>
  </si>
  <si>
    <t>Utilities</t>
  </si>
  <si>
    <t>Total Operational Expenditure</t>
  </si>
  <si>
    <t>Total Expenditure</t>
  </si>
  <si>
    <t>GOVERNMENT Transfer</t>
  </si>
  <si>
    <t xml:space="preserve">Net Surplus/Deficit - after GOA Transfer </t>
  </si>
  <si>
    <t>Social Security Contributions</t>
  </si>
  <si>
    <t>EC $</t>
  </si>
  <si>
    <t>GOA - Interim Stabilization Levy</t>
  </si>
  <si>
    <t>GOA-Other</t>
  </si>
  <si>
    <t>Other Operating Expenses</t>
  </si>
  <si>
    <t>Dues and Charges</t>
  </si>
  <si>
    <t>Subvention from GOA</t>
  </si>
  <si>
    <t>Debt Service Interests</t>
  </si>
  <si>
    <t>Rental of Equipment</t>
  </si>
  <si>
    <t>Rental of Property</t>
  </si>
  <si>
    <t>Sundry Expenses</t>
  </si>
  <si>
    <t>Borrowing</t>
  </si>
  <si>
    <t>Promissory Note (ASSB)/DPT</t>
  </si>
  <si>
    <t>Long term Loans</t>
  </si>
  <si>
    <t>Water Production Costs (WCA)</t>
  </si>
  <si>
    <t>Short Term Benefits (ASSB)</t>
  </si>
  <si>
    <t>Professional and Consultancy Services</t>
  </si>
  <si>
    <t>Pension &amp; Long Term Benefits (ASSB &amp; PSPF )</t>
  </si>
  <si>
    <t>Other Supplies, Materials and Equipment</t>
  </si>
  <si>
    <t>Drugs and Medical Supplies</t>
  </si>
  <si>
    <t>Depreciation and Amortization</t>
  </si>
  <si>
    <t>Bad Debt write off/ increase provisions</t>
  </si>
  <si>
    <t>Auditing and Accounting</t>
  </si>
  <si>
    <t>Rewards &amp; Incentives</t>
  </si>
  <si>
    <t>Staff Medical Insurance</t>
  </si>
  <si>
    <t>Pension and Benefit Contributions (ASSB &amp; PSPF)</t>
  </si>
  <si>
    <t>Operational Fees</t>
  </si>
  <si>
    <t>Financial Position Statements of Stat Bodies in red are not included in consolidated total due to errors in balance sheets)</t>
  </si>
  <si>
    <t xml:space="preserve">CONSOLIDATED STAT BODY </t>
  </si>
  <si>
    <t>AFSC</t>
  </si>
  <si>
    <t>ANT</t>
  </si>
  <si>
    <t>CONSOLIDATED</t>
  </si>
  <si>
    <t>AASPA</t>
  </si>
  <si>
    <t>ATB</t>
  </si>
  <si>
    <t>HAA</t>
  </si>
  <si>
    <t>PSPF</t>
  </si>
  <si>
    <t>SA</t>
  </si>
  <si>
    <t>WCA</t>
  </si>
  <si>
    <t>ADB</t>
  </si>
  <si>
    <t xml:space="preserve">Qtr </t>
  </si>
  <si>
    <t>Total Liabilities to Total Assets Ratio</t>
  </si>
  <si>
    <t>Total Liabilities</t>
  </si>
  <si>
    <t>Total Assets</t>
  </si>
  <si>
    <t>Financial Assets</t>
  </si>
  <si>
    <t>Current Ratio</t>
  </si>
  <si>
    <t>Financial Assets to Total Liabilities Ratio</t>
  </si>
  <si>
    <t>Inventory</t>
  </si>
  <si>
    <t>Quick Ratio</t>
  </si>
  <si>
    <t xml:space="preserve">Quick Ratio- </t>
  </si>
  <si>
    <t>Financial Result (Surplus/Deficit)</t>
  </si>
  <si>
    <t>Borrowing to Assets Ratio</t>
  </si>
  <si>
    <t>Total Debt</t>
  </si>
  <si>
    <t>Surplus</t>
  </si>
  <si>
    <t>Deficit</t>
  </si>
  <si>
    <t>Dividends paid to Central Government</t>
  </si>
  <si>
    <t>PUC</t>
  </si>
  <si>
    <t>ACC</t>
  </si>
  <si>
    <t>ANGUILLA DEVELOPMENT BOARD</t>
  </si>
  <si>
    <t>Opening</t>
  </si>
  <si>
    <t>Qtr 1</t>
  </si>
  <si>
    <t>Qtr 2</t>
  </si>
  <si>
    <t>Qtr 3</t>
  </si>
  <si>
    <t>GOA - Universal Social Levy</t>
  </si>
  <si>
    <t>PLEASE DO NOT ADJUST LINE ITEMS</t>
  </si>
  <si>
    <t>Operating Deficit/Surplus before Capital Projects</t>
  </si>
  <si>
    <t>Capital Projects</t>
  </si>
  <si>
    <t>Operating Deficit /Surplus after Capital Projects</t>
  </si>
  <si>
    <t>Please do not adjust line items</t>
  </si>
  <si>
    <t>ANGUILLA NATIONAL TRUST</t>
  </si>
  <si>
    <t>PUBLIC UTILITIES COMMISSION</t>
  </si>
  <si>
    <t xml:space="preserve">ANGUILLA COMMUNITY COLLEGE </t>
  </si>
  <si>
    <t>ANGUILLA AIR &amp; SEAPORTS AUTHORITY</t>
  </si>
  <si>
    <t xml:space="preserve">CONSOLIDATED </t>
  </si>
  <si>
    <t>Water Production costs (WCA)</t>
  </si>
  <si>
    <t>Pension and Long Term Benefits (ASSB &amp; PSPF)</t>
  </si>
  <si>
    <t>Drugs, Medical and Laboratory Supplies</t>
  </si>
  <si>
    <t>Depreciation and Amortisation</t>
  </si>
  <si>
    <t>Debt service Interests</t>
  </si>
  <si>
    <t>Bad debt write off/increase provisions</t>
  </si>
  <si>
    <t>ANGUILLA TOURIST BOARD</t>
  </si>
  <si>
    <t>PLEASE DO NOT ADJUST THE LINE ITEMS</t>
  </si>
  <si>
    <t>ANGUILLA SOCIAL SECURITY BOARD</t>
  </si>
  <si>
    <t>HEALTH AUTHORITY OF ANGUILLA</t>
  </si>
  <si>
    <t>PUBLIC SERVICE PENSION FUND</t>
  </si>
  <si>
    <t>ANGUILLA FINANCIAL SERVICES COMMISSION</t>
  </si>
  <si>
    <t>WATER CORPORATION OF ANGUILLA</t>
  </si>
  <si>
    <t>WATER COROPORATION OF ANGUILLA</t>
  </si>
  <si>
    <t>`</t>
  </si>
  <si>
    <t>DECEMBER 31ST 2023</t>
  </si>
  <si>
    <t>DECEMBER 31ST  2023</t>
  </si>
  <si>
    <t>2023 ANNUAL BUDGET</t>
  </si>
  <si>
    <t xml:space="preserve">GST Refund </t>
  </si>
  <si>
    <t>Over performance mainly as a result of the unanticipated administrative/penalty fees received.</t>
  </si>
  <si>
    <t>Study grant to employee exceeded budget as a result of the increased number of course taken for the semester.</t>
  </si>
  <si>
    <t>The training which was planned for the quarter did not occur hence the underspending.</t>
  </si>
  <si>
    <t>JUNE 30TH 2023</t>
  </si>
  <si>
    <t>GST Refund</t>
  </si>
  <si>
    <t>DECEMBER 31TH 2023</t>
  </si>
  <si>
    <t>Personel Cost is way under budget because some positions still remain open and new positions were not filled</t>
  </si>
  <si>
    <t>Advertising and promotions is above budget due to big ticket items or events paid in full rather than Quarterly or monthly installments.  This was made possible from savings througout 2022 and 2023.  International reps were also given additional spend</t>
  </si>
  <si>
    <t>Audits will commence in first quarter of 2024</t>
  </si>
  <si>
    <t>Lower than anticipated on sland hosting.  No Annual marketing meeting</t>
  </si>
  <si>
    <t>Cleaner took sick and died and ADB employed new cleaner</t>
  </si>
  <si>
    <t>Government IT department charges for housing equipent and support</t>
  </si>
  <si>
    <t>The anticipated spending for recruitment did not occur hence the underspending.</t>
  </si>
  <si>
    <t>Budgeted travel did not occur</t>
  </si>
  <si>
    <t>It was anticipated that the Commission would incur vehicle maintenance expense. As the vehicle was purchased new during the second half of the year no maintenance expenses were incurred.</t>
  </si>
  <si>
    <t xml:space="preserve"> a previous year correction was made which resulted in the reduction of other operating expenses</t>
  </si>
  <si>
    <t>the anticipated expenses within Legal fees did not occur</t>
  </si>
  <si>
    <t>The fees, dues and charges category represent for the most part surhcarges on contributions paid late and are automatically calculated  by SSB's MBS system.  This category can not be realistically predicted as it is dependent on whether employers pay their contributions on time or not.</t>
  </si>
  <si>
    <t>The Board's investments in the stock market rebounded in 2023 from its poor performance in 2022.  Also, in 2023 the Board diversified its investments further in the US stock market in Term deposits amounting to US$3.585 million at 5% per annum (compared to interest on local term deposits which yielded interest of between 1% to 2% per annum).  Actual interest income for 2023 was approximately 26% above budget.</t>
  </si>
  <si>
    <t xml:space="preserve">Income from this category in 2023 derived primarily from fees charged for replacement of Social Security cards.  </t>
  </si>
  <si>
    <t>Contribution Income for 2023 was approximately 12% higher than budget due to growth in the Anguillian economy and increased compliance efforts.</t>
  </si>
  <si>
    <t>Actual expenditure on salaries is lower than budget due to the following: Director's position not as yet filled; Compliance Manager retired in July and this position also has not been filled.</t>
  </si>
  <si>
    <t xml:space="preserve">In addition to the Board's 6% contribution to the staff Pension Fund on members' basic salary (averaging approximately $240,000 per annum), this account also provides for a non-cash cost (as determined by annual Actuarial reviews), as the total Employer contribution expense to be recognized in the Income &amp; Exp. statements for the year.  For 2022 the total contribution expense determined by the Actuary amounted to $857,205; for 2021 the employer contribution expense was $880,622.  An Actuarial review for 2023 is to be conducted shortly.  The review calculates the additional contribution cost payable by the SSB on behalf of employees for the year and is allocated between the Pensions and Gratuities category and Other Comprehensive Income.   </t>
  </si>
  <si>
    <t xml:space="preserve">Employer contribution to Social Security is 25% below budget due to the following: The 2023 budget anticipated an increase of .25% in the employer contribution rate  (from 5% to 5.25%).  This account was also impacted by the following: Director's position not filled in 2023; Compliance Manager retired in July and this position was also not filled. </t>
  </si>
  <si>
    <t>The Allowance category was 30% below budget due to the following: Director, Compliance Manager and Compliance Officer's positions not filled during 2023; change in criteria for allowances (allowances now pro-rated when out of office on vacation and other leave).</t>
  </si>
  <si>
    <t xml:space="preserve">In addition to Health insurance for employees, this category also provided for Indemnity insurance for Board and key staff (the indemnity insurance was not re-instated in 2023). </t>
  </si>
  <si>
    <t>In addition to the retirement gift which forms part of staff awards, the 2023 budget also provided for miscellaneous staff awards (not done in 2023).</t>
  </si>
  <si>
    <t>The budget for Board expenses caters for Board Training, Official Entertainment and allowance Board Secretary.  Of the $30,000 budgeted for Board Training and Official Entertainment, actual expenditure amounted to $6,449 (an attempt to reduce administrative cost in 2023).</t>
  </si>
  <si>
    <t xml:space="preserve">The 2023 actual expenditure for this category is 41% lower than budget.   The 2023 budget provided for upgrades to the existing telephone service - from analog to digital amounting to approximately $45,000 (this did not materialized in 2023 due to the many other ICT demands including the MBS project and the transfer of SSB’s digital assets to a new service provider).  </t>
  </si>
  <si>
    <t>Computer License Software and Hardware Maintenance Expenditure year to date is lower than budget.  Software licenses and maintenance fees for the MBS project is paid based on completion and implementation of the various phases of the project.  Some phases were delayed during 2023 which resulted in maintenance and software fees being lower.</t>
  </si>
  <si>
    <t>The depreciation expense exercise is still to be done and is estimated at approximately $920,000 an increase of approximately $150,000 due to the amortization of SSB's new MBS software with the completion of this project.</t>
  </si>
  <si>
    <t>The budget for Directors' fees catered for the re-instatement of the Incvestment Committee, suspended in 2020, amounting to $20,400.  The Investment Committee was not reinstated in 2023.</t>
  </si>
  <si>
    <t>This category covers the cost of Board members, Director and staff attendance at regional and international meetings.  Actual expenditure for 2023 was 44% above budget.</t>
  </si>
  <si>
    <t>This category covers manintenance expenses on building and equipment.  As a result of the age of the building, the 2023 budget catered for carrying out of additional maintenance work in 2023 (most of this was outstanding at end of 2023).</t>
  </si>
  <si>
    <t>Additional expenses relating to the write off of inventory relating to stationery and computer supplies held in inventory and used during the year is still to be done and will result in a change in the office expense category.</t>
  </si>
  <si>
    <t>Professional &amp; Consultancy fees include: Legal fees; Technical Assistance; Actuarial Analysis.  These services are paid as services are delivered and invoiced.  The Budget for Actuarial services of $220,000 anticipated the signing of an Actuarial contract for the full year of 2023.  The contract was however signed for 1 year - effective July 2023 at US$5,750 per month.  Services for 2023 were not invoiced at the full monthly contractual amount due to the quantity of service provided during the period July - December 2023. Total Actuarial expense for 2023 was approx. $27,000.  The budget for Legal fees amount to $100,000.  This consist of a monthly retainer of US$800.00. The budget also provides for additional legal services as might be required by SSB.  The 2023 budget of $50,000 provided for miscellaneous Technical Services such as the outstanding  Legislative Review project.  No funds were however expended in 2023 on this project.</t>
  </si>
  <si>
    <t>This category provides for subscriptions and publications expense.  The budget provided for printing of various SSB booklets - not done due to SSB's Legislative Review project not completed.</t>
  </si>
  <si>
    <t>The 2023 budget provided for short and long-term training for staff (training was not done at the level anticipated as per the 2023 budget).</t>
  </si>
  <si>
    <t>Actual expenditure on uniforms procurred in 2023 was 56% lower than anticipated expenditure due to SSB being able to source its uniforms at better prices than anticipated which resulted in savings to the SSB</t>
  </si>
  <si>
    <t>December 31 2023</t>
  </si>
  <si>
    <t>As good loans are paid off the arrears increase in bad loans therefor increase in provisions</t>
  </si>
  <si>
    <t>* NB The report excludes Water Corporation of Anguilla and Select Anguilla as they did not submit the required reports.Additionally, the Water Corporation of Anguilla has only submitted financials up to the second quarter, so their information is not included in the consolidated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</si>
</sst>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d&quot;-&quot;mmm&quot;-&quot;yyyy"/>
    <numFmt numFmtId="165" formatCode="&quot; &quot;* #,##0&quot; &quot;;&quot; &quot;* \(#,##0\);&quot; &quot;* &quot;- &quot;"/>
    <numFmt numFmtId="166" formatCode="#,##0.00,,"/>
    <numFmt numFmtId="167" formatCode="_(* #,##0_);_(* \(#,##0\);_(* &quot;-&quot;??_);_(@_)"/>
    <numFmt numFmtId="168" formatCode="0.0000"/>
    <numFmt numFmtId="169" formatCode="#,##0.0000,,"/>
    <numFmt numFmtId="170" formatCode="0.0"/>
    <numFmt numFmtId="171" formatCode="#,##0.0000000,,"/>
    <numFmt numFmtId="172" formatCode="_-* #,##0.00_-;\-* #,##0.00_-;_-* &quot;-&quot;??_-;_-@_-"/>
    <numFmt numFmtId="173" formatCode="0.00000000"/>
  </numFmts>
  <fonts count="43" x14ac:knownFonts="1">
    <font>
      <sz val="11"/>
      <color theme="1"/>
      <name val="Calibri"/>
      <family val="2"/>
      <scheme val="minor"/>
    </font>
    <font>
      <b/>
      <sz val="14"/>
      <color indexed="8"/>
      <name val="Calibri"/>
      <family val="2"/>
    </font>
    <font>
      <b/>
      <sz val="12"/>
      <color indexed="8"/>
      <name val="Calibri"/>
      <family val="2"/>
    </font>
    <font>
      <sz val="12"/>
      <color indexed="8"/>
      <name val="Calibri"/>
      <family val="2"/>
    </font>
    <font>
      <sz val="12"/>
      <color indexed="11"/>
      <name val="Calibri"/>
      <family val="2"/>
    </font>
    <font>
      <b/>
      <sz val="14"/>
      <name val="Calibri"/>
      <family val="2"/>
    </font>
    <font>
      <sz val="11"/>
      <name val="Calibri"/>
      <family val="2"/>
      <scheme val="minor"/>
    </font>
    <font>
      <b/>
      <sz val="12"/>
      <name val="Calibri"/>
      <family val="2"/>
    </font>
    <font>
      <sz val="12"/>
      <name val="Calibri"/>
      <family val="2"/>
    </font>
    <font>
      <sz val="11"/>
      <color theme="1"/>
      <name val="Calibri"/>
      <family val="2"/>
      <scheme val="minor"/>
    </font>
    <font>
      <b/>
      <sz val="9"/>
      <color indexed="81"/>
      <name val="Tahoma"/>
      <family val="2"/>
    </font>
    <font>
      <sz val="9"/>
      <color indexed="81"/>
      <name val="Tahoma"/>
      <family val="2"/>
    </font>
    <font>
      <b/>
      <sz val="14"/>
      <color rgb="FFFF0000"/>
      <name val="Calibri"/>
      <family val="2"/>
    </font>
    <font>
      <b/>
      <sz val="12"/>
      <color indexed="8"/>
      <name val="Calibri"/>
      <family val="2"/>
      <scheme val="minor"/>
    </font>
    <font>
      <b/>
      <sz val="12"/>
      <color theme="1"/>
      <name val="Calibri"/>
      <family val="2"/>
      <scheme val="minor"/>
    </font>
    <font>
      <b/>
      <sz val="12"/>
      <name val="Calibri"/>
      <family val="2"/>
      <scheme val="minor"/>
    </font>
    <font>
      <b/>
      <sz val="14"/>
      <color indexed="8"/>
      <name val="Calibri"/>
      <family val="2"/>
      <scheme val="minor"/>
    </font>
    <font>
      <b/>
      <sz val="14"/>
      <name val="Calibri"/>
      <family val="2"/>
      <scheme val="minor"/>
    </font>
    <font>
      <b/>
      <sz val="14"/>
      <color rgb="FFFF0000"/>
      <name val="Calibri"/>
      <family val="2"/>
      <scheme val="minor"/>
    </font>
    <font>
      <sz val="14"/>
      <color theme="1"/>
      <name val="Calibri"/>
      <family val="2"/>
      <scheme val="minor"/>
    </font>
    <font>
      <sz val="14"/>
      <color rgb="FFFF0000"/>
      <name val="Calibri"/>
      <family val="2"/>
      <scheme val="minor"/>
    </font>
    <font>
      <sz val="14"/>
      <name val="Calibri"/>
      <family val="2"/>
      <scheme val="minor"/>
    </font>
    <font>
      <b/>
      <sz val="14"/>
      <color theme="1"/>
      <name val="Calibri"/>
      <family val="2"/>
      <scheme val="minor"/>
    </font>
    <font>
      <sz val="14"/>
      <color indexed="8"/>
      <name val="Calibri"/>
      <family val="2"/>
      <scheme val="minor"/>
    </font>
    <font>
      <sz val="14"/>
      <color indexed="11"/>
      <name val="Calibri"/>
      <family val="2"/>
      <scheme val="minor"/>
    </font>
    <font>
      <sz val="14"/>
      <color indexed="14"/>
      <name val="Calibri"/>
      <family val="2"/>
      <scheme val="minor"/>
    </font>
    <font>
      <b/>
      <sz val="14"/>
      <color indexed="9"/>
      <name val="Calibri"/>
      <family val="2"/>
      <scheme val="minor"/>
    </font>
    <font>
      <b/>
      <sz val="14"/>
      <color indexed="11"/>
      <name val="Calibri"/>
      <family val="2"/>
      <scheme val="minor"/>
    </font>
    <font>
      <i/>
      <sz val="14"/>
      <color indexed="8"/>
      <name val="Calibri"/>
      <family val="2"/>
      <scheme val="minor"/>
    </font>
    <font>
      <sz val="14"/>
      <color rgb="FF000000"/>
      <name val="Calibri"/>
      <family val="2"/>
      <scheme val="minor"/>
    </font>
    <font>
      <sz val="11"/>
      <color rgb="FFFF0000"/>
      <name val="Calibri"/>
      <family val="2"/>
      <scheme val="minor"/>
    </font>
    <font>
      <sz val="12"/>
      <color indexed="8"/>
      <name val="Calibri"/>
      <family val="2"/>
      <scheme val="minor"/>
    </font>
    <font>
      <sz val="12"/>
      <color theme="1"/>
      <name val="Calibri"/>
      <family val="2"/>
      <scheme val="minor"/>
    </font>
    <font>
      <b/>
      <sz val="10"/>
      <name val="Calibri"/>
      <family val="2"/>
    </font>
    <font>
      <sz val="11"/>
      <color indexed="8"/>
      <name val="Calibri"/>
      <family val="2"/>
    </font>
    <font>
      <sz val="10"/>
      <name val="Arial"/>
      <family val="2"/>
    </font>
    <font>
      <sz val="14"/>
      <color indexed="8"/>
      <name val="Calibri"/>
      <family val="2"/>
    </font>
    <font>
      <sz val="11"/>
      <color rgb="FF000000"/>
      <name val="Calibri"/>
      <family val="2"/>
      <scheme val="minor"/>
    </font>
    <font>
      <sz val="10"/>
      <name val="Courier"/>
    </font>
    <font>
      <sz val="11"/>
      <color theme="1"/>
      <name val="Times New Roman"/>
      <family val="1"/>
    </font>
    <font>
      <sz val="11"/>
      <name val="Times New Roman"/>
      <family val="1"/>
    </font>
    <font>
      <sz val="12"/>
      <name val="Times New Roman"/>
      <family val="1"/>
    </font>
    <font>
      <sz val="12"/>
      <color theme="1"/>
      <name val="Times New Roman"/>
      <family val="1"/>
    </font>
  </fonts>
  <fills count="10">
    <fill>
      <patternFill patternType="none"/>
    </fill>
    <fill>
      <patternFill patternType="gray125"/>
    </fill>
    <fill>
      <patternFill patternType="solid">
        <fgColor indexed="9"/>
        <bgColor auto="1"/>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499984740745262"/>
        <bgColor indexed="64"/>
      </patternFill>
    </fill>
    <fill>
      <patternFill patternType="solid">
        <fgColor rgb="FFFFFFFF"/>
        <bgColor auto="1"/>
      </patternFill>
    </fill>
  </fills>
  <borders count="186">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medium">
        <color indexed="8"/>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8"/>
      </top>
      <bottom/>
      <diagonal/>
    </border>
    <border>
      <left/>
      <right/>
      <top style="medium">
        <color indexed="8"/>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8"/>
      </left>
      <right/>
      <top/>
      <bottom style="medium">
        <color indexed="8"/>
      </bottom>
      <diagonal/>
    </border>
    <border>
      <left style="thin">
        <color indexed="10"/>
      </left>
      <right/>
      <top style="medium">
        <color indexed="8"/>
      </top>
      <bottom/>
      <diagonal/>
    </border>
    <border>
      <left style="thin">
        <color indexed="10"/>
      </left>
      <right/>
      <top/>
      <bottom style="thin">
        <color indexed="8"/>
      </bottom>
      <diagonal/>
    </border>
    <border>
      <left/>
      <right/>
      <top/>
      <bottom style="thin">
        <color indexed="8"/>
      </bottom>
      <diagonal/>
    </border>
    <border>
      <left style="thin">
        <color indexed="10"/>
      </left>
      <right/>
      <top style="thin">
        <color indexed="8"/>
      </top>
      <bottom style="thin">
        <color indexed="8"/>
      </bottom>
      <diagonal/>
    </border>
    <border>
      <left style="medium">
        <color indexed="64"/>
      </left>
      <right style="medium">
        <color indexed="64"/>
      </right>
      <top style="thin">
        <color indexed="8"/>
      </top>
      <bottom style="thin">
        <color indexed="8"/>
      </bottom>
      <diagonal/>
    </border>
    <border>
      <left/>
      <right/>
      <top style="thin">
        <color indexed="8"/>
      </top>
      <bottom style="thin">
        <color indexed="8"/>
      </bottom>
      <diagonal/>
    </border>
    <border>
      <left style="thin">
        <color indexed="10"/>
      </left>
      <right/>
      <top style="thin">
        <color indexed="8"/>
      </top>
      <bottom/>
      <diagonal/>
    </border>
    <border>
      <left/>
      <right/>
      <top style="thin">
        <color indexed="8"/>
      </top>
      <bottom/>
      <diagonal/>
    </border>
    <border>
      <left style="thin">
        <color indexed="10"/>
      </left>
      <right/>
      <top style="thin">
        <color indexed="8"/>
      </top>
      <bottom style="medium">
        <color indexed="8"/>
      </bottom>
      <diagonal/>
    </border>
    <border>
      <left style="medium">
        <color indexed="64"/>
      </left>
      <right style="medium">
        <color indexed="64"/>
      </right>
      <top style="thin">
        <color indexed="8"/>
      </top>
      <bottom style="medium">
        <color indexed="64"/>
      </bottom>
      <diagonal/>
    </border>
    <border>
      <left/>
      <right/>
      <top style="thin">
        <color indexed="8"/>
      </top>
      <bottom style="medium">
        <color indexed="8"/>
      </bottom>
      <diagonal/>
    </border>
    <border>
      <left/>
      <right style="thin">
        <color indexed="10"/>
      </right>
      <top/>
      <bottom style="medium">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medium">
        <color indexed="64"/>
      </top>
      <bottom style="thin">
        <color indexed="8"/>
      </bottom>
      <diagonal/>
    </border>
    <border>
      <left/>
      <right style="medium">
        <color indexed="8"/>
      </right>
      <top style="medium">
        <color indexed="8"/>
      </top>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medium">
        <color indexed="8"/>
      </left>
      <right style="medium">
        <color indexed="8"/>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top/>
      <bottom/>
      <diagonal/>
    </border>
    <border>
      <left style="thin">
        <color indexed="64"/>
      </left>
      <right/>
      <top/>
      <bottom style="thin">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8"/>
      </left>
      <right style="medium">
        <color indexed="8"/>
      </right>
      <top/>
      <bottom style="medium">
        <color indexed="8"/>
      </bottom>
      <diagonal/>
    </border>
    <border>
      <left/>
      <right style="medium">
        <color indexed="64"/>
      </right>
      <top/>
      <bottom style="thin">
        <color indexed="8"/>
      </bottom>
      <diagonal/>
    </border>
    <border>
      <left/>
      <right style="thin">
        <color indexed="8"/>
      </right>
      <top style="thin">
        <color indexed="8"/>
      </top>
      <bottom/>
      <diagonal/>
    </border>
    <border>
      <left style="medium">
        <color indexed="64"/>
      </left>
      <right/>
      <top style="thin">
        <color indexed="8"/>
      </top>
      <bottom/>
      <diagonal/>
    </border>
    <border>
      <left style="thin">
        <color indexed="64"/>
      </left>
      <right style="thin">
        <color indexed="64"/>
      </right>
      <top style="thin">
        <color indexed="8"/>
      </top>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right style="medium">
        <color indexed="64"/>
      </right>
      <top/>
      <bottom style="medium">
        <color indexed="8"/>
      </bottom>
      <diagonal/>
    </border>
    <border>
      <left style="medium">
        <color indexed="64"/>
      </left>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style="thin">
        <color indexed="8"/>
      </left>
      <right style="thin">
        <color indexed="8"/>
      </right>
      <top style="medium">
        <color indexed="8"/>
      </top>
      <bottom/>
      <diagonal/>
    </border>
    <border>
      <left style="thin">
        <color indexed="8"/>
      </left>
      <right style="medium">
        <color indexed="64"/>
      </right>
      <top style="medium">
        <color indexed="8"/>
      </top>
      <bottom/>
      <diagonal/>
    </border>
    <border>
      <left/>
      <right style="thin">
        <color indexed="8"/>
      </right>
      <top/>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indexed="64"/>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style="medium">
        <color indexed="64"/>
      </right>
      <top style="thin">
        <color indexed="8"/>
      </top>
      <bottom style="medium">
        <color indexed="64"/>
      </bottom>
      <diagonal/>
    </border>
    <border>
      <left style="medium">
        <color indexed="64"/>
      </left>
      <right/>
      <top style="thin">
        <color indexed="8"/>
      </top>
      <bottom style="medium">
        <color indexed="64"/>
      </bottom>
      <diagonal/>
    </border>
    <border>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right style="medium">
        <color indexed="64"/>
      </right>
      <top style="medium">
        <color indexed="8"/>
      </top>
      <bottom/>
      <diagonal/>
    </border>
    <border>
      <left style="medium">
        <color indexed="64"/>
      </left>
      <right/>
      <top style="medium">
        <color indexed="8"/>
      </top>
      <bottom/>
      <diagonal/>
    </border>
    <border>
      <left style="medium">
        <color indexed="64"/>
      </left>
      <right/>
      <top/>
      <bottom style="medium">
        <color indexed="8"/>
      </bottom>
      <diagonal/>
    </border>
    <border>
      <left style="thin">
        <color indexed="64"/>
      </left>
      <right style="thin">
        <color indexed="8"/>
      </right>
      <top/>
      <bottom style="thin">
        <color indexed="8"/>
      </bottom>
      <diagonal/>
    </border>
    <border>
      <left style="medium">
        <color indexed="64"/>
      </left>
      <right style="thin">
        <color indexed="64"/>
      </right>
      <top/>
      <bottom style="thin">
        <color indexed="8"/>
      </bottom>
      <diagonal/>
    </border>
    <border>
      <left style="thin">
        <color indexed="64"/>
      </left>
      <right style="thin">
        <color indexed="8"/>
      </right>
      <top/>
      <bottom/>
      <diagonal/>
    </border>
    <border>
      <left style="thin">
        <color indexed="64"/>
      </left>
      <right style="thin">
        <color indexed="8"/>
      </right>
      <top style="thin">
        <color indexed="8"/>
      </top>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bottom/>
      <diagonal/>
    </border>
    <border>
      <left style="medium">
        <color indexed="64"/>
      </left>
      <right style="thin">
        <color indexed="8"/>
      </right>
      <top style="medium">
        <color indexed="8"/>
      </top>
      <bottom/>
      <diagonal/>
    </border>
    <border>
      <left style="medium">
        <color indexed="64"/>
      </left>
      <right style="thin">
        <color indexed="8"/>
      </right>
      <top/>
      <bottom style="medium">
        <color indexed="8"/>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medium">
        <color indexed="8"/>
      </left>
      <right style="medium">
        <color indexed="8"/>
      </right>
      <top/>
      <bottom style="thin">
        <color indexed="64"/>
      </bottom>
      <diagonal/>
    </border>
    <border>
      <left style="medium">
        <color indexed="8"/>
      </left>
      <right style="medium">
        <color indexed="8"/>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medium">
        <color indexed="64"/>
      </right>
      <top style="thin">
        <color indexed="64"/>
      </top>
      <bottom/>
      <diagonal/>
    </border>
    <border>
      <left style="medium">
        <color indexed="64"/>
      </left>
      <right style="thin">
        <color indexed="64"/>
      </right>
      <top style="medium">
        <color indexed="8"/>
      </top>
      <bottom style="thin">
        <color indexed="64"/>
      </bottom>
      <diagonal/>
    </border>
    <border>
      <left style="thin">
        <color indexed="8"/>
      </left>
      <right style="thin">
        <color indexed="64"/>
      </right>
      <top style="medium">
        <color indexed="8"/>
      </top>
      <bottom style="thin">
        <color indexed="64"/>
      </bottom>
      <diagonal/>
    </border>
    <border>
      <left style="thin">
        <color indexed="8"/>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8"/>
      </left>
      <right/>
      <top style="thin">
        <color indexed="8"/>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8"/>
      </right>
      <top style="thin">
        <color indexed="8"/>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medium">
        <color indexed="8"/>
      </right>
      <top style="thin">
        <color indexed="10"/>
      </top>
      <bottom/>
      <diagonal/>
    </border>
    <border>
      <left style="thin">
        <color indexed="64"/>
      </left>
      <right style="thin">
        <color indexed="8"/>
      </right>
      <top style="medium">
        <color indexed="8"/>
      </top>
      <bottom/>
      <diagonal/>
    </border>
    <border>
      <left style="thin">
        <color indexed="64"/>
      </left>
      <right/>
      <top style="medium">
        <color indexed="8"/>
      </top>
      <bottom/>
      <diagonal/>
    </border>
    <border>
      <left style="thin">
        <color indexed="64"/>
      </left>
      <right/>
      <top style="thin">
        <color indexed="8"/>
      </top>
      <bottom/>
      <diagonal/>
    </border>
    <border>
      <left style="thin">
        <color indexed="10"/>
      </left>
      <right style="medium">
        <color indexed="64"/>
      </right>
      <top/>
      <bottom/>
      <diagonal/>
    </border>
    <border>
      <left style="thin">
        <color indexed="8"/>
      </left>
      <right style="thin">
        <color indexed="64"/>
      </right>
      <top style="medium">
        <color indexed="8"/>
      </top>
      <bottom/>
      <diagonal/>
    </border>
    <border>
      <left style="thin">
        <color indexed="8"/>
      </left>
      <right style="thin">
        <color indexed="64"/>
      </right>
      <top style="thin">
        <color indexed="8"/>
      </top>
      <bottom/>
      <diagonal/>
    </border>
    <border>
      <left style="thin">
        <color indexed="64"/>
      </left>
      <right style="medium">
        <color indexed="64"/>
      </right>
      <top style="thin">
        <color indexed="8"/>
      </top>
      <bottom/>
      <diagonal/>
    </border>
    <border>
      <left/>
      <right style="medium">
        <color indexed="64"/>
      </right>
      <top style="thin">
        <color indexed="64"/>
      </top>
      <bottom/>
      <diagonal/>
    </border>
    <border>
      <left/>
      <right/>
      <top style="thin">
        <color indexed="64"/>
      </top>
      <bottom/>
      <diagonal/>
    </border>
    <border>
      <left/>
      <right style="medium">
        <color indexed="64"/>
      </right>
      <top/>
      <bottom style="thin">
        <color indexed="64"/>
      </bottom>
      <diagonal/>
    </border>
    <border>
      <left style="thin">
        <color indexed="10"/>
      </left>
      <right style="thin">
        <color indexed="64"/>
      </right>
      <top style="thin">
        <color indexed="8"/>
      </top>
      <bottom style="thin">
        <color indexed="8"/>
      </bottom>
      <diagonal/>
    </border>
    <border>
      <left style="thin">
        <color indexed="10"/>
      </left>
      <right style="medium">
        <color indexed="64"/>
      </right>
      <top/>
      <bottom style="thin">
        <color indexed="8"/>
      </bottom>
      <diagonal/>
    </border>
    <border>
      <left style="medium">
        <color indexed="8"/>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8"/>
      </right>
      <top/>
      <bottom style="thin">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style="thin">
        <color indexed="64"/>
      </top>
      <bottom style="thin">
        <color indexed="8"/>
      </bottom>
      <diagonal/>
    </border>
    <border>
      <left style="medium">
        <color indexed="64"/>
      </left>
      <right style="thin">
        <color indexed="8"/>
      </right>
      <top style="thin">
        <color indexed="64"/>
      </top>
      <bottom style="thin">
        <color indexed="8"/>
      </bottom>
      <diagonal/>
    </border>
    <border>
      <left style="thin">
        <color indexed="8"/>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8"/>
      </right>
      <top style="thin">
        <color indexed="64"/>
      </top>
      <bottom style="thin">
        <color indexed="64"/>
      </bottom>
      <diagonal/>
    </border>
    <border>
      <left style="medium">
        <color indexed="8"/>
      </left>
      <right style="medium">
        <color indexed="64"/>
      </right>
      <top style="medium">
        <color indexed="8"/>
      </top>
      <bottom/>
      <diagonal/>
    </border>
    <border>
      <left style="medium">
        <color indexed="64"/>
      </left>
      <right style="medium">
        <color indexed="64"/>
      </right>
      <top style="thin">
        <color indexed="64"/>
      </top>
      <bottom style="thin">
        <color indexed="8"/>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style="thin">
        <color indexed="8"/>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8"/>
      </left>
      <right style="medium">
        <color indexed="64"/>
      </right>
      <top style="thin">
        <color indexed="64"/>
      </top>
      <bottom style="thin">
        <color indexed="8"/>
      </bottom>
      <diagonal/>
    </border>
    <border>
      <left/>
      <right style="thin">
        <color theme="0" tint="-0.34998626667073579"/>
      </right>
      <top/>
      <bottom/>
      <diagonal/>
    </border>
    <border>
      <left/>
      <right style="thin">
        <color theme="0" tint="-0.249977111117893"/>
      </right>
      <top style="medium">
        <color indexed="64"/>
      </top>
      <bottom/>
      <diagonal/>
    </border>
    <border>
      <left/>
      <right style="thin">
        <color theme="0" tint="-0.249977111117893"/>
      </right>
      <top/>
      <bottom/>
      <diagonal/>
    </border>
    <border>
      <left/>
      <right style="thin">
        <color theme="0" tint="-0.34998626667073579"/>
      </right>
      <top style="thin">
        <color theme="0" tint="-0.34998626667073579"/>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34998626667073579"/>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diagonal/>
    </border>
    <border>
      <left style="thin">
        <color theme="0" tint="-0.249977111117893"/>
      </left>
      <right style="thin">
        <color theme="0" tint="-0.34998626667073579"/>
      </right>
      <top/>
      <bottom style="thin">
        <color theme="0" tint="-0.34998626667073579"/>
      </bottom>
      <diagonal/>
    </border>
    <border>
      <left style="thin">
        <color theme="0" tint="-0.249977111117893"/>
      </left>
      <right/>
      <top style="thin">
        <color theme="0" tint="-0.249977111117893"/>
      </top>
      <bottom/>
      <diagonal/>
    </border>
  </borders>
  <cellStyleXfs count="21">
    <xf numFmtId="0" fontId="0" fillId="0" borderId="0"/>
    <xf numFmtId="43" fontId="9" fillId="0" borderId="0" applyFont="0" applyFill="0" applyBorder="0" applyAlignment="0" applyProtection="0"/>
    <xf numFmtId="9" fontId="9" fillId="0" borderId="0" applyFont="0" applyFill="0" applyBorder="0" applyAlignment="0" applyProtection="0"/>
    <xf numFmtId="0" fontId="35" fillId="0" borderId="0"/>
    <xf numFmtId="0" fontId="35" fillId="0" borderId="0"/>
    <xf numFmtId="0" fontId="35" fillId="0" borderId="0"/>
    <xf numFmtId="0" fontId="9" fillId="0" borderId="0"/>
    <xf numFmtId="0" fontId="9" fillId="0" borderId="0"/>
    <xf numFmtId="43" fontId="35" fillId="0" borderId="0" applyFont="0" applyFill="0" applyBorder="0" applyAlignment="0" applyProtection="0"/>
    <xf numFmtId="43" fontId="9" fillId="0" borderId="0" applyFont="0" applyFill="0" applyBorder="0" applyAlignment="0" applyProtection="0"/>
    <xf numFmtId="43" fontId="35" fillId="0" borderId="0" applyFont="0" applyFill="0" applyBorder="0" applyAlignment="0" applyProtection="0"/>
    <xf numFmtId="43" fontId="34" fillId="0" borderId="0" applyFont="0" applyFill="0" applyBorder="0" applyAlignment="0" applyProtection="0"/>
    <xf numFmtId="0" fontId="35" fillId="0" borderId="0"/>
    <xf numFmtId="0" fontId="35" fillId="0" borderId="0"/>
    <xf numFmtId="0" fontId="35" fillId="0" borderId="0"/>
    <xf numFmtId="43" fontId="35" fillId="0" borderId="0" applyFont="0" applyFill="0" applyBorder="0" applyAlignment="0" applyProtection="0"/>
    <xf numFmtId="172" fontId="37" fillId="0" borderId="0" applyFont="0" applyFill="0" applyBorder="0" applyAlignment="0" applyProtection="0"/>
    <xf numFmtId="0" fontId="38" fillId="0" borderId="0"/>
    <xf numFmtId="172" fontId="9" fillId="0" borderId="0" applyFont="0" applyFill="0" applyBorder="0" applyAlignment="0" applyProtection="0"/>
    <xf numFmtId="0" fontId="35" fillId="0" borderId="0"/>
    <xf numFmtId="0" fontId="9" fillId="0" borderId="0"/>
  </cellStyleXfs>
  <cellXfs count="1500">
    <xf numFmtId="0" fontId="0" fillId="0" borderId="0" xfId="0"/>
    <xf numFmtId="164" fontId="0" fillId="2" borderId="4" xfId="0" applyNumberFormat="1" applyFill="1" applyBorder="1"/>
    <xf numFmtId="164" fontId="1" fillId="2" borderId="0" xfId="0" applyNumberFormat="1" applyFont="1" applyFill="1" applyAlignment="1">
      <alignment vertical="center"/>
    </xf>
    <xf numFmtId="0" fontId="6" fillId="0" borderId="0" xfId="0" applyFont="1"/>
    <xf numFmtId="164" fontId="7" fillId="4" borderId="11" xfId="0" applyNumberFormat="1" applyFont="1" applyFill="1" applyBorder="1" applyAlignment="1">
      <alignment horizontal="center" vertical="center"/>
    </xf>
    <xf numFmtId="49" fontId="7" fillId="4" borderId="18" xfId="0" applyNumberFormat="1" applyFont="1" applyFill="1" applyBorder="1" applyAlignment="1">
      <alignment horizontal="center" vertical="center" wrapText="1"/>
    </xf>
    <xf numFmtId="164" fontId="7" fillId="4" borderId="0" xfId="0" applyNumberFormat="1" applyFont="1" applyFill="1"/>
    <xf numFmtId="164" fontId="2" fillId="2" borderId="6" xfId="0" applyNumberFormat="1" applyFont="1" applyFill="1" applyBorder="1"/>
    <xf numFmtId="164" fontId="7" fillId="4" borderId="9" xfId="0" applyNumberFormat="1" applyFont="1" applyFill="1" applyBorder="1"/>
    <xf numFmtId="164" fontId="7" fillId="4" borderId="30" xfId="0" applyNumberFormat="1" applyFont="1" applyFill="1" applyBorder="1"/>
    <xf numFmtId="49" fontId="7" fillId="2" borderId="31" xfId="0" applyNumberFormat="1" applyFont="1" applyFill="1" applyBorder="1"/>
    <xf numFmtId="49" fontId="7" fillId="2" borderId="4" xfId="0" applyNumberFormat="1" applyFont="1" applyFill="1" applyBorder="1"/>
    <xf numFmtId="49" fontId="8" fillId="2" borderId="4" xfId="0" applyNumberFormat="1" applyFont="1" applyFill="1" applyBorder="1"/>
    <xf numFmtId="49" fontId="3" fillId="2" borderId="4" xfId="0" applyNumberFormat="1" applyFont="1" applyFill="1" applyBorder="1"/>
    <xf numFmtId="49" fontId="3" fillId="2" borderId="32" xfId="0" applyNumberFormat="1" applyFont="1" applyFill="1" applyBorder="1"/>
    <xf numFmtId="49" fontId="7" fillId="4" borderId="34" xfId="0" applyNumberFormat="1" applyFont="1" applyFill="1" applyBorder="1"/>
    <xf numFmtId="164" fontId="3" fillId="2" borderId="37" xfId="0" applyNumberFormat="1" applyFont="1" applyFill="1" applyBorder="1"/>
    <xf numFmtId="49" fontId="2" fillId="2" borderId="4" xfId="0" applyNumberFormat="1" applyFont="1" applyFill="1" applyBorder="1"/>
    <xf numFmtId="49" fontId="0" fillId="2" borderId="4" xfId="0" applyNumberFormat="1" applyFill="1" applyBorder="1"/>
    <xf numFmtId="49" fontId="0" fillId="2" borderId="32" xfId="0" applyNumberFormat="1" applyFill="1" applyBorder="1"/>
    <xf numFmtId="164" fontId="2" fillId="2" borderId="37" xfId="0" applyNumberFormat="1" applyFont="1" applyFill="1" applyBorder="1"/>
    <xf numFmtId="164" fontId="4" fillId="2" borderId="32" xfId="0" applyNumberFormat="1" applyFont="1" applyFill="1" applyBorder="1"/>
    <xf numFmtId="164" fontId="4" fillId="2" borderId="37" xfId="0" applyNumberFormat="1" applyFont="1" applyFill="1" applyBorder="1"/>
    <xf numFmtId="164" fontId="8" fillId="2" borderId="4" xfId="0" applyNumberFormat="1" applyFont="1" applyFill="1" applyBorder="1"/>
    <xf numFmtId="49" fontId="3" fillId="2" borderId="4" xfId="0" applyNumberFormat="1" applyFont="1" applyFill="1" applyBorder="1" applyAlignment="1">
      <alignment horizontal="left"/>
    </xf>
    <xf numFmtId="164" fontId="8" fillId="2" borderId="37" xfId="0" applyNumberFormat="1" applyFont="1" applyFill="1" applyBorder="1"/>
    <xf numFmtId="164" fontId="0" fillId="2" borderId="32" xfId="0" applyNumberFormat="1" applyFill="1" applyBorder="1"/>
    <xf numFmtId="164" fontId="8" fillId="2" borderId="34" xfId="0" applyNumberFormat="1" applyFont="1" applyFill="1" applyBorder="1"/>
    <xf numFmtId="49" fontId="7" fillId="4" borderId="39" xfId="0" applyNumberFormat="1" applyFont="1" applyFill="1" applyBorder="1" applyAlignment="1">
      <alignment wrapText="1"/>
    </xf>
    <xf numFmtId="168" fontId="0" fillId="0" borderId="0" xfId="0" applyNumberFormat="1"/>
    <xf numFmtId="169" fontId="0" fillId="0" borderId="0" xfId="0" applyNumberFormat="1"/>
    <xf numFmtId="169" fontId="0" fillId="2" borderId="0" xfId="0" applyNumberFormat="1" applyFill="1"/>
    <xf numFmtId="169" fontId="6" fillId="0" borderId="0" xfId="0" applyNumberFormat="1" applyFont="1"/>
    <xf numFmtId="168" fontId="6" fillId="0" borderId="0" xfId="0" applyNumberFormat="1" applyFont="1"/>
    <xf numFmtId="3" fontId="0" fillId="0" borderId="0" xfId="0" applyNumberFormat="1"/>
    <xf numFmtId="164" fontId="2" fillId="2" borderId="0" xfId="0" applyNumberFormat="1" applyFont="1" applyFill="1"/>
    <xf numFmtId="164" fontId="2" fillId="2" borderId="7" xfId="0" applyNumberFormat="1" applyFont="1" applyFill="1" applyBorder="1"/>
    <xf numFmtId="49" fontId="7" fillId="4" borderId="12" xfId="0" applyNumberFormat="1" applyFont="1" applyFill="1" applyBorder="1" applyAlignment="1">
      <alignment horizontal="center" vertical="center" wrapText="1"/>
    </xf>
    <xf numFmtId="49" fontId="7" fillId="4" borderId="14" xfId="0" applyNumberFormat="1" applyFont="1" applyFill="1" applyBorder="1" applyAlignment="1">
      <alignment horizontal="center"/>
    </xf>
    <xf numFmtId="49" fontId="7" fillId="4" borderId="7" xfId="0" applyNumberFormat="1" applyFont="1" applyFill="1" applyBorder="1" applyAlignment="1">
      <alignment horizontal="center"/>
    </xf>
    <xf numFmtId="43" fontId="0" fillId="0" borderId="0" xfId="1" applyFont="1" applyAlignment="1"/>
    <xf numFmtId="43" fontId="0" fillId="0" borderId="0" xfId="0" applyNumberFormat="1"/>
    <xf numFmtId="170" fontId="0" fillId="0" borderId="0" xfId="0" applyNumberFormat="1"/>
    <xf numFmtId="2" fontId="0" fillId="0" borderId="0" xfId="0" applyNumberFormat="1"/>
    <xf numFmtId="14" fontId="7" fillId="4" borderId="13" xfId="0" applyNumberFormat="1" applyFont="1" applyFill="1" applyBorder="1" applyAlignment="1">
      <alignment horizontal="center"/>
    </xf>
    <xf numFmtId="14" fontId="7" fillId="4" borderId="0" xfId="0" applyNumberFormat="1" applyFont="1" applyFill="1" applyAlignment="1">
      <alignment horizontal="center"/>
    </xf>
    <xf numFmtId="169" fontId="16" fillId="2" borderId="0" xfId="0" applyNumberFormat="1" applyFont="1" applyFill="1" applyAlignment="1">
      <alignment vertical="center"/>
    </xf>
    <xf numFmtId="169" fontId="19" fillId="0" borderId="0" xfId="0" applyNumberFormat="1" applyFont="1"/>
    <xf numFmtId="168" fontId="19" fillId="0" borderId="0" xfId="0" applyNumberFormat="1" applyFont="1"/>
    <xf numFmtId="0" fontId="19" fillId="0" borderId="0" xfId="0" applyFont="1"/>
    <xf numFmtId="164" fontId="19" fillId="2" borderId="4" xfId="0" applyNumberFormat="1" applyFont="1" applyFill="1" applyBorder="1"/>
    <xf numFmtId="168" fontId="21" fillId="0" borderId="0" xfId="0" applyNumberFormat="1" applyFont="1"/>
    <xf numFmtId="0" fontId="21" fillId="0" borderId="0" xfId="0" applyFont="1"/>
    <xf numFmtId="164" fontId="16" fillId="2" borderId="4" xfId="0" applyNumberFormat="1" applyFont="1" applyFill="1" applyBorder="1"/>
    <xf numFmtId="168" fontId="22" fillId="0" borderId="0" xfId="0" applyNumberFormat="1" applyFont="1" applyAlignment="1">
      <alignment horizontal="center"/>
    </xf>
    <xf numFmtId="164" fontId="17" fillId="4" borderId="23" xfId="0" applyNumberFormat="1" applyFont="1" applyFill="1" applyBorder="1" applyAlignment="1">
      <alignment horizontal="center" vertical="center"/>
    </xf>
    <xf numFmtId="169" fontId="17" fillId="4" borderId="12" xfId="0" applyNumberFormat="1" applyFont="1" applyFill="1" applyBorder="1" applyAlignment="1">
      <alignment horizontal="center" vertical="center" wrapText="1"/>
    </xf>
    <xf numFmtId="168" fontId="17" fillId="4" borderId="12" xfId="0" applyNumberFormat="1" applyFont="1" applyFill="1" applyBorder="1" applyAlignment="1">
      <alignment horizontal="center" vertical="center" wrapText="1"/>
    </xf>
    <xf numFmtId="14" fontId="17" fillId="4" borderId="19" xfId="0" applyNumberFormat="1" applyFont="1" applyFill="1" applyBorder="1"/>
    <xf numFmtId="14" fontId="17" fillId="4" borderId="13" xfId="0" applyNumberFormat="1" applyFont="1" applyFill="1" applyBorder="1" applyAlignment="1">
      <alignment horizontal="center"/>
    </xf>
    <xf numFmtId="14" fontId="19" fillId="0" borderId="0" xfId="0" applyNumberFormat="1" applyFont="1"/>
    <xf numFmtId="164" fontId="17" fillId="4" borderId="27" xfId="0" applyNumberFormat="1" applyFont="1" applyFill="1" applyBorder="1"/>
    <xf numFmtId="168" fontId="17" fillId="4" borderId="29" xfId="0" applyNumberFormat="1" applyFont="1" applyFill="1" applyBorder="1" applyAlignment="1">
      <alignment horizontal="center"/>
    </xf>
    <xf numFmtId="49" fontId="17" fillId="2" borderId="23" xfId="0" applyNumberFormat="1" applyFont="1" applyFill="1" applyBorder="1"/>
    <xf numFmtId="168" fontId="19" fillId="5" borderId="24" xfId="0" applyNumberFormat="1" applyFont="1" applyFill="1" applyBorder="1"/>
    <xf numFmtId="49" fontId="17" fillId="2" borderId="19" xfId="0" applyNumberFormat="1" applyFont="1" applyFill="1" applyBorder="1"/>
    <xf numFmtId="169" fontId="23" fillId="2" borderId="13" xfId="0" applyNumberFormat="1" applyFont="1" applyFill="1" applyBorder="1"/>
    <xf numFmtId="168" fontId="19" fillId="5" borderId="0" xfId="0" applyNumberFormat="1" applyFont="1" applyFill="1"/>
    <xf numFmtId="49" fontId="21" fillId="2" borderId="19" xfId="0" applyNumberFormat="1" applyFont="1" applyFill="1" applyBorder="1"/>
    <xf numFmtId="49" fontId="19" fillId="0" borderId="0" xfId="0" applyNumberFormat="1" applyFont="1"/>
    <xf numFmtId="49" fontId="23" fillId="2" borderId="19" xfId="0" applyNumberFormat="1" applyFont="1" applyFill="1" applyBorder="1"/>
    <xf numFmtId="49" fontId="23" fillId="2" borderId="27" xfId="0" applyNumberFormat="1" applyFont="1" applyFill="1" applyBorder="1"/>
    <xf numFmtId="164" fontId="23" fillId="2" borderId="23" xfId="0" applyNumberFormat="1" applyFont="1" applyFill="1" applyBorder="1"/>
    <xf numFmtId="49" fontId="16" fillId="2" borderId="19" xfId="0" applyNumberFormat="1" applyFont="1" applyFill="1" applyBorder="1"/>
    <xf numFmtId="3" fontId="19" fillId="2" borderId="12" xfId="0" applyNumberFormat="1" applyFont="1" applyFill="1" applyBorder="1"/>
    <xf numFmtId="3" fontId="22" fillId="2" borderId="13" xfId="0" applyNumberFormat="1" applyFont="1" applyFill="1" applyBorder="1"/>
    <xf numFmtId="49" fontId="19" fillId="2" borderId="13" xfId="0" applyNumberFormat="1" applyFont="1" applyFill="1" applyBorder="1"/>
    <xf numFmtId="3" fontId="19" fillId="2" borderId="23" xfId="0" applyNumberFormat="1" applyFont="1" applyFill="1" applyBorder="1"/>
    <xf numFmtId="3" fontId="19" fillId="2" borderId="19" xfId="0" applyNumberFormat="1" applyFont="1" applyFill="1" applyBorder="1"/>
    <xf numFmtId="3" fontId="19" fillId="2" borderId="27" xfId="0" applyNumberFormat="1" applyFont="1" applyFill="1" applyBorder="1"/>
    <xf numFmtId="164" fontId="24" fillId="2" borderId="23" xfId="0" applyNumberFormat="1" applyFont="1" applyFill="1" applyBorder="1"/>
    <xf numFmtId="164" fontId="21" fillId="2" borderId="19" xfId="0" applyNumberFormat="1" applyFont="1" applyFill="1" applyBorder="1"/>
    <xf numFmtId="49" fontId="19" fillId="2" borderId="19" xfId="0" applyNumberFormat="1" applyFont="1" applyFill="1" applyBorder="1"/>
    <xf numFmtId="49" fontId="23" fillId="2" borderId="19" xfId="0" applyNumberFormat="1" applyFont="1" applyFill="1" applyBorder="1" applyAlignment="1">
      <alignment horizontal="left"/>
    </xf>
    <xf numFmtId="49" fontId="19" fillId="2" borderId="27" xfId="0" applyNumberFormat="1" applyFont="1" applyFill="1" applyBorder="1"/>
    <xf numFmtId="164" fontId="21" fillId="2" borderId="23" xfId="0" applyNumberFormat="1" applyFont="1" applyFill="1" applyBorder="1"/>
    <xf numFmtId="164" fontId="21" fillId="2" borderId="21" xfId="0" applyNumberFormat="1" applyFont="1" applyFill="1" applyBorder="1"/>
    <xf numFmtId="169" fontId="16" fillId="5" borderId="2" xfId="0" applyNumberFormat="1" applyFont="1" applyFill="1" applyBorder="1" applyAlignment="1">
      <alignment vertical="center"/>
    </xf>
    <xf numFmtId="9" fontId="16" fillId="5" borderId="2" xfId="0" applyNumberFormat="1" applyFont="1" applyFill="1" applyBorder="1" applyAlignment="1">
      <alignment vertical="center"/>
    </xf>
    <xf numFmtId="164" fontId="16" fillId="2" borderId="2" xfId="0" applyNumberFormat="1" applyFont="1" applyFill="1" applyBorder="1" applyAlignment="1">
      <alignment vertical="center"/>
    </xf>
    <xf numFmtId="169" fontId="16" fillId="2" borderId="2" xfId="0" applyNumberFormat="1" applyFont="1" applyFill="1" applyBorder="1" applyAlignment="1">
      <alignment vertical="center"/>
    </xf>
    <xf numFmtId="9" fontId="16" fillId="2" borderId="2" xfId="2" applyFont="1" applyFill="1" applyBorder="1" applyAlignment="1">
      <alignment vertical="center"/>
    </xf>
    <xf numFmtId="169" fontId="16" fillId="5" borderId="2" xfId="0" applyNumberFormat="1" applyFont="1" applyFill="1" applyBorder="1" applyAlignment="1">
      <alignment horizontal="center" vertical="center"/>
    </xf>
    <xf numFmtId="9" fontId="16" fillId="5" borderId="2" xfId="2" applyFont="1" applyFill="1" applyBorder="1" applyAlignment="1">
      <alignment horizontal="center" vertical="center"/>
    </xf>
    <xf numFmtId="169" fontId="16" fillId="5" borderId="0" xfId="0" applyNumberFormat="1" applyFont="1" applyFill="1" applyAlignment="1">
      <alignment vertical="center"/>
    </xf>
    <xf numFmtId="9" fontId="16" fillId="5" borderId="0" xfId="0" applyNumberFormat="1" applyFont="1" applyFill="1" applyAlignment="1">
      <alignment vertical="center"/>
    </xf>
    <xf numFmtId="164" fontId="16" fillId="5" borderId="0" xfId="0" applyNumberFormat="1" applyFont="1" applyFill="1" applyAlignment="1">
      <alignment vertical="center"/>
    </xf>
    <xf numFmtId="164" fontId="16" fillId="2" borderId="0" xfId="0" applyNumberFormat="1" applyFont="1" applyFill="1" applyAlignment="1">
      <alignment vertical="center"/>
    </xf>
    <xf numFmtId="9" fontId="16" fillId="2" borderId="0" xfId="2" applyFont="1" applyFill="1" applyBorder="1" applyAlignment="1">
      <alignment vertical="center"/>
    </xf>
    <xf numFmtId="169" fontId="16" fillId="5" borderId="0" xfId="0" applyNumberFormat="1" applyFont="1" applyFill="1" applyAlignment="1">
      <alignment horizontal="center" vertical="center"/>
    </xf>
    <xf numFmtId="9" fontId="16" fillId="5" borderId="0" xfId="2" applyFont="1" applyFill="1" applyBorder="1" applyAlignment="1">
      <alignment horizontal="center" vertical="center"/>
    </xf>
    <xf numFmtId="169" fontId="17" fillId="5" borderId="0" xfId="0" applyNumberFormat="1" applyFont="1" applyFill="1" applyAlignment="1">
      <alignment vertical="center"/>
    </xf>
    <xf numFmtId="9" fontId="17" fillId="5" borderId="0" xfId="0" applyNumberFormat="1" applyFont="1" applyFill="1" applyAlignment="1">
      <alignment vertical="center"/>
    </xf>
    <xf numFmtId="164" fontId="17" fillId="2" borderId="0" xfId="0" applyNumberFormat="1" applyFont="1" applyFill="1" applyAlignment="1">
      <alignment vertical="center"/>
    </xf>
    <xf numFmtId="169" fontId="17" fillId="2" borderId="0" xfId="0" applyNumberFormat="1" applyFont="1" applyFill="1" applyAlignment="1">
      <alignment vertical="center"/>
    </xf>
    <xf numFmtId="9" fontId="17" fillId="2" borderId="0" xfId="2" applyFont="1" applyFill="1" applyBorder="1" applyAlignment="1">
      <alignment vertical="center"/>
    </xf>
    <xf numFmtId="169" fontId="17" fillId="5" borderId="0" xfId="0" applyNumberFormat="1" applyFont="1" applyFill="1" applyAlignment="1">
      <alignment horizontal="center" vertical="center"/>
    </xf>
    <xf numFmtId="9" fontId="17" fillId="5" borderId="0" xfId="2" applyFont="1" applyFill="1" applyBorder="1" applyAlignment="1">
      <alignment horizontal="center" vertical="center"/>
    </xf>
    <xf numFmtId="164" fontId="23" fillId="2" borderId="0" xfId="0" applyNumberFormat="1" applyFont="1" applyFill="1" applyAlignment="1">
      <alignment horizontal="left" vertical="center"/>
    </xf>
    <xf numFmtId="169" fontId="23" fillId="2" borderId="0" xfId="0" applyNumberFormat="1" applyFont="1" applyFill="1" applyAlignment="1">
      <alignment horizontal="left" vertical="center"/>
    </xf>
    <xf numFmtId="9" fontId="23" fillId="2" borderId="0" xfId="2" applyFont="1" applyFill="1" applyBorder="1" applyAlignment="1">
      <alignment horizontal="left" vertical="center"/>
    </xf>
    <xf numFmtId="169" fontId="23" fillId="5" borderId="0" xfId="0" applyNumberFormat="1" applyFont="1" applyFill="1" applyAlignment="1">
      <alignment horizontal="left" vertical="center"/>
    </xf>
    <xf numFmtId="169" fontId="23" fillId="5" borderId="0" xfId="0" applyNumberFormat="1" applyFont="1" applyFill="1" applyAlignment="1">
      <alignment vertical="center"/>
    </xf>
    <xf numFmtId="9" fontId="23" fillId="5" borderId="0" xfId="2" applyFont="1" applyFill="1" applyBorder="1" applyAlignment="1">
      <alignment vertical="center"/>
    </xf>
    <xf numFmtId="164" fontId="21" fillId="2" borderId="0" xfId="0" applyNumberFormat="1" applyFont="1" applyFill="1" applyAlignment="1">
      <alignment horizontal="left" vertical="center"/>
    </xf>
    <xf numFmtId="169" fontId="21" fillId="2" borderId="0" xfId="0" applyNumberFormat="1" applyFont="1" applyFill="1" applyAlignment="1">
      <alignment horizontal="left" vertical="center"/>
    </xf>
    <xf numFmtId="9" fontId="21" fillId="2" borderId="0" xfId="2" applyFont="1" applyFill="1" applyBorder="1" applyAlignment="1">
      <alignment horizontal="left" vertical="center"/>
    </xf>
    <xf numFmtId="169" fontId="21" fillId="5" borderId="0" xfId="0" applyNumberFormat="1" applyFont="1" applyFill="1" applyAlignment="1">
      <alignment horizontal="left" vertical="center"/>
    </xf>
    <xf numFmtId="169" fontId="21" fillId="5" borderId="0" xfId="0" applyNumberFormat="1" applyFont="1" applyFill="1" applyAlignment="1">
      <alignment vertical="center"/>
    </xf>
    <xf numFmtId="9" fontId="21" fillId="5" borderId="0" xfId="2" applyFont="1" applyFill="1" applyBorder="1" applyAlignment="1">
      <alignment vertical="center"/>
    </xf>
    <xf numFmtId="164" fontId="19" fillId="2" borderId="2" xfId="0" applyNumberFormat="1" applyFont="1" applyFill="1" applyBorder="1" applyAlignment="1">
      <alignment vertical="center"/>
    </xf>
    <xf numFmtId="169" fontId="19" fillId="5" borderId="2" xfId="0" applyNumberFormat="1" applyFont="1" applyFill="1" applyBorder="1" applyAlignment="1">
      <alignment vertical="center"/>
    </xf>
    <xf numFmtId="169" fontId="19" fillId="2" borderId="2" xfId="0" applyNumberFormat="1" applyFont="1" applyFill="1" applyBorder="1" applyAlignment="1">
      <alignment vertical="center"/>
    </xf>
    <xf numFmtId="9" fontId="19" fillId="2" borderId="2" xfId="2" applyFont="1" applyFill="1" applyBorder="1" applyAlignment="1">
      <alignment vertical="center"/>
    </xf>
    <xf numFmtId="164" fontId="19" fillId="2" borderId="3" xfId="0" applyNumberFormat="1" applyFont="1" applyFill="1" applyBorder="1" applyAlignment="1">
      <alignment vertical="center" wrapText="1"/>
    </xf>
    <xf numFmtId="164" fontId="19" fillId="5" borderId="4" xfId="0" applyNumberFormat="1" applyFont="1" applyFill="1" applyBorder="1" applyAlignment="1">
      <alignment vertical="center"/>
    </xf>
    <xf numFmtId="169" fontId="19" fillId="5" borderId="0" xfId="0" applyNumberFormat="1" applyFont="1" applyFill="1" applyAlignment="1">
      <alignment vertical="center"/>
    </xf>
    <xf numFmtId="169" fontId="19" fillId="2" borderId="0" xfId="0" applyNumberFormat="1" applyFont="1" applyFill="1" applyAlignment="1">
      <alignment vertical="center"/>
    </xf>
    <xf numFmtId="9" fontId="19" fillId="2" borderId="0" xfId="2" applyFont="1" applyFill="1" applyBorder="1" applyAlignment="1">
      <alignment vertical="center"/>
    </xf>
    <xf numFmtId="164" fontId="19" fillId="2" borderId="5" xfId="0" applyNumberFormat="1" applyFont="1" applyFill="1" applyBorder="1" applyAlignment="1">
      <alignment vertical="center" wrapText="1"/>
    </xf>
    <xf numFmtId="164" fontId="21" fillId="2" borderId="0" xfId="0" applyNumberFormat="1" applyFont="1" applyFill="1" applyAlignment="1">
      <alignment vertical="center"/>
    </xf>
    <xf numFmtId="169" fontId="21" fillId="2" borderId="0" xfId="0" applyNumberFormat="1" applyFont="1" applyFill="1" applyAlignment="1">
      <alignment vertical="center"/>
    </xf>
    <xf numFmtId="9" fontId="21" fillId="2" borderId="0" xfId="2" applyFont="1" applyFill="1" applyBorder="1" applyAlignment="1">
      <alignment vertical="center"/>
    </xf>
    <xf numFmtId="164" fontId="21" fillId="2" borderId="5" xfId="0" applyNumberFormat="1" applyFont="1" applyFill="1" applyBorder="1" applyAlignment="1">
      <alignment vertical="center" wrapText="1"/>
    </xf>
    <xf numFmtId="164" fontId="19" fillId="2" borderId="0" xfId="0" applyNumberFormat="1" applyFont="1" applyFill="1" applyAlignment="1">
      <alignment vertical="center"/>
    </xf>
    <xf numFmtId="164" fontId="18" fillId="2" borderId="6" xfId="0" applyNumberFormat="1" applyFont="1" applyFill="1" applyBorder="1" applyAlignment="1">
      <alignment horizontal="center" vertical="center"/>
    </xf>
    <xf numFmtId="169" fontId="25" fillId="2" borderId="0" xfId="0" applyNumberFormat="1" applyFont="1" applyFill="1" applyAlignment="1">
      <alignment vertical="center"/>
    </xf>
    <xf numFmtId="9" fontId="19" fillId="2" borderId="0" xfId="0" applyNumberFormat="1" applyFont="1" applyFill="1" applyAlignment="1">
      <alignment vertical="center"/>
    </xf>
    <xf numFmtId="164" fontId="19" fillId="2" borderId="7" xfId="0" applyNumberFormat="1" applyFont="1" applyFill="1" applyBorder="1" applyAlignment="1">
      <alignment vertical="center"/>
    </xf>
    <xf numFmtId="164" fontId="19" fillId="2" borderId="42" xfId="0" applyNumberFormat="1" applyFont="1" applyFill="1" applyBorder="1" applyAlignment="1">
      <alignment vertical="center" wrapText="1"/>
    </xf>
    <xf numFmtId="164" fontId="17" fillId="4" borderId="11" xfId="0" applyNumberFormat="1" applyFont="1" applyFill="1" applyBorder="1" applyAlignment="1">
      <alignment vertical="center"/>
    </xf>
    <xf numFmtId="164" fontId="26" fillId="3" borderId="18" xfId="0" applyNumberFormat="1" applyFont="1" applyFill="1" applyBorder="1" applyAlignment="1">
      <alignment horizontal="center" vertical="center" wrapText="1"/>
    </xf>
    <xf numFmtId="164" fontId="26" fillId="3" borderId="46" xfId="0" applyNumberFormat="1" applyFont="1" applyFill="1" applyBorder="1" applyAlignment="1">
      <alignment horizontal="center" vertical="center" wrapText="1"/>
    </xf>
    <xf numFmtId="49" fontId="17" fillId="4" borderId="9" xfId="0" applyNumberFormat="1" applyFont="1" applyFill="1" applyBorder="1" applyAlignment="1">
      <alignment vertical="center"/>
    </xf>
    <xf numFmtId="169" fontId="17" fillId="4" borderId="47" xfId="0" applyNumberFormat="1" applyFont="1" applyFill="1" applyBorder="1" applyAlignment="1">
      <alignment horizontal="center" vertical="center"/>
    </xf>
    <xf numFmtId="165" fontId="27" fillId="3" borderId="0" xfId="0" applyNumberFormat="1" applyFont="1" applyFill="1" applyAlignment="1">
      <alignment horizontal="center" vertical="center"/>
    </xf>
    <xf numFmtId="169" fontId="17" fillId="4" borderId="51" xfId="0" applyNumberFormat="1" applyFont="1" applyFill="1" applyBorder="1" applyAlignment="1">
      <alignment horizontal="center" vertical="center"/>
    </xf>
    <xf numFmtId="169" fontId="17" fillId="4" borderId="52" xfId="0" applyNumberFormat="1" applyFont="1" applyFill="1" applyBorder="1" applyAlignment="1">
      <alignment horizontal="center" vertical="center"/>
    </xf>
    <xf numFmtId="169" fontId="17" fillId="4" borderId="51" xfId="0" applyNumberFormat="1" applyFont="1" applyFill="1" applyBorder="1" applyAlignment="1">
      <alignment horizontal="center" vertical="center" wrapText="1"/>
    </xf>
    <xf numFmtId="165" fontId="27" fillId="3" borderId="10" xfId="0" applyNumberFormat="1" applyFont="1" applyFill="1" applyBorder="1" applyAlignment="1">
      <alignment horizontal="center" vertical="center"/>
    </xf>
    <xf numFmtId="164" fontId="21" fillId="4" borderId="9" xfId="0" applyNumberFormat="1" applyFont="1" applyFill="1" applyBorder="1" applyAlignment="1">
      <alignment vertical="center"/>
    </xf>
    <xf numFmtId="169" fontId="17" fillId="4" borderId="55" xfId="0" applyNumberFormat="1" applyFont="1" applyFill="1" applyBorder="1" applyAlignment="1">
      <alignment horizontal="center" vertical="center"/>
    </xf>
    <xf numFmtId="169" fontId="17" fillId="4" borderId="0" xfId="0" applyNumberFormat="1" applyFont="1" applyFill="1" applyAlignment="1">
      <alignment horizontal="center" vertical="center"/>
    </xf>
    <xf numFmtId="9" fontId="17" fillId="4" borderId="26" xfId="0" applyNumberFormat="1" applyFont="1" applyFill="1" applyBorder="1" applyAlignment="1">
      <alignment horizontal="center" vertical="center"/>
    </xf>
    <xf numFmtId="15" fontId="27" fillId="3" borderId="0" xfId="0" applyNumberFormat="1" applyFont="1" applyFill="1" applyAlignment="1">
      <alignment horizontal="center" vertical="center"/>
    </xf>
    <xf numFmtId="169" fontId="17" fillId="4" borderId="56" xfId="0" applyNumberFormat="1" applyFont="1" applyFill="1" applyBorder="1" applyAlignment="1">
      <alignment horizontal="center" vertical="center"/>
    </xf>
    <xf numFmtId="9" fontId="17" fillId="4" borderId="57" xfId="0" applyNumberFormat="1" applyFont="1" applyFill="1" applyBorder="1" applyAlignment="1">
      <alignment horizontal="center" vertical="center"/>
    </xf>
    <xf numFmtId="9" fontId="17" fillId="4" borderId="57" xfId="2" applyFont="1" applyFill="1" applyBorder="1" applyAlignment="1">
      <alignment horizontal="center" vertical="center"/>
    </xf>
    <xf numFmtId="169" fontId="17" fillId="4" borderId="58" xfId="0" applyNumberFormat="1" applyFont="1" applyFill="1" applyBorder="1" applyAlignment="1">
      <alignment horizontal="center" vertical="center"/>
    </xf>
    <xf numFmtId="169" fontId="17" fillId="4" borderId="59" xfId="0" applyNumberFormat="1" applyFont="1" applyFill="1" applyBorder="1" applyAlignment="1">
      <alignment horizontal="center" vertical="center"/>
    </xf>
    <xf numFmtId="169" fontId="17" fillId="4" borderId="60" xfId="0" applyNumberFormat="1" applyFont="1" applyFill="1" applyBorder="1" applyAlignment="1">
      <alignment horizontal="center" vertical="center"/>
    </xf>
    <xf numFmtId="9" fontId="17" fillId="4" borderId="26" xfId="2" applyFont="1" applyFill="1" applyBorder="1" applyAlignment="1">
      <alignment horizontal="center" vertical="center"/>
    </xf>
    <xf numFmtId="15" fontId="27" fillId="3" borderId="10" xfId="0" applyNumberFormat="1" applyFont="1" applyFill="1" applyBorder="1" applyAlignment="1">
      <alignment horizontal="center" vertical="center"/>
    </xf>
    <xf numFmtId="164" fontId="21" fillId="0" borderId="0" xfId="0" applyNumberFormat="1" applyFont="1" applyAlignment="1">
      <alignment vertical="center"/>
    </xf>
    <xf numFmtId="169" fontId="17" fillId="0" borderId="55" xfId="0" applyNumberFormat="1" applyFont="1" applyBorder="1" applyAlignment="1">
      <alignment horizontal="center" vertical="center"/>
    </xf>
    <xf numFmtId="169" fontId="17" fillId="0" borderId="47" xfId="0" applyNumberFormat="1" applyFont="1" applyBorder="1" applyAlignment="1">
      <alignment horizontal="center" vertical="center"/>
    </xf>
    <xf numFmtId="9" fontId="17" fillId="0" borderId="47" xfId="0" applyNumberFormat="1" applyFont="1" applyBorder="1" applyAlignment="1">
      <alignment horizontal="center" vertical="center"/>
    </xf>
    <xf numFmtId="15" fontId="27" fillId="0" borderId="0" xfId="0" applyNumberFormat="1" applyFont="1" applyAlignment="1">
      <alignment horizontal="center" vertical="center"/>
    </xf>
    <xf numFmtId="9" fontId="17" fillId="0" borderId="47" xfId="2" applyFont="1" applyFill="1" applyBorder="1" applyAlignment="1">
      <alignment horizontal="center" vertical="center"/>
    </xf>
    <xf numFmtId="15" fontId="27" fillId="0" borderId="49" xfId="0" applyNumberFormat="1" applyFont="1" applyBorder="1" applyAlignment="1">
      <alignment horizontal="center" vertical="center"/>
    </xf>
    <xf numFmtId="169" fontId="17" fillId="0" borderId="50" xfId="0" applyNumberFormat="1" applyFont="1" applyBorder="1" applyAlignment="1">
      <alignment horizontal="center" vertical="center"/>
    </xf>
    <xf numFmtId="15" fontId="17" fillId="0" borderId="0" xfId="0" applyNumberFormat="1" applyFont="1" applyAlignment="1">
      <alignment horizontal="left" vertical="center" wrapText="1"/>
    </xf>
    <xf numFmtId="49" fontId="17" fillId="2" borderId="4" xfId="0" applyNumberFormat="1" applyFont="1" applyFill="1" applyBorder="1" applyAlignment="1">
      <alignment vertical="center"/>
    </xf>
    <xf numFmtId="169" fontId="16" fillId="2" borderId="55" xfId="0" applyNumberFormat="1" applyFont="1" applyFill="1" applyBorder="1" applyAlignment="1">
      <alignment vertical="center"/>
    </xf>
    <xf numFmtId="9" fontId="16" fillId="2" borderId="55" xfId="0" applyNumberFormat="1" applyFont="1" applyFill="1" applyBorder="1" applyAlignment="1">
      <alignment vertical="center"/>
    </xf>
    <xf numFmtId="165" fontId="16" fillId="3" borderId="0" xfId="0" applyNumberFormat="1" applyFont="1" applyFill="1" applyAlignment="1">
      <alignment vertical="center"/>
    </xf>
    <xf numFmtId="9" fontId="16" fillId="2" borderId="55" xfId="2" applyFont="1" applyFill="1" applyBorder="1" applyAlignment="1">
      <alignment vertical="center"/>
    </xf>
    <xf numFmtId="165" fontId="16" fillId="3" borderId="56" xfId="0" applyNumberFormat="1" applyFont="1" applyFill="1" applyBorder="1" applyAlignment="1">
      <alignment vertical="center"/>
    </xf>
    <xf numFmtId="169" fontId="16" fillId="2" borderId="61" xfId="0" applyNumberFormat="1" applyFont="1" applyFill="1" applyBorder="1" applyAlignment="1">
      <alignment vertical="center"/>
    </xf>
    <xf numFmtId="166" fontId="16" fillId="3" borderId="0" xfId="0" applyNumberFormat="1" applyFont="1" applyFill="1" applyAlignment="1">
      <alignment vertical="center"/>
    </xf>
    <xf numFmtId="164" fontId="19" fillId="2" borderId="62" xfId="0" applyNumberFormat="1" applyFont="1" applyFill="1" applyBorder="1" applyAlignment="1">
      <alignment vertical="center" wrapText="1"/>
    </xf>
    <xf numFmtId="49" fontId="23" fillId="2" borderId="4" xfId="0" applyNumberFormat="1" applyFont="1" applyFill="1" applyBorder="1" applyAlignment="1">
      <alignment vertical="center"/>
    </xf>
    <xf numFmtId="169" fontId="19" fillId="2" borderId="55" xfId="0" applyNumberFormat="1" applyFont="1" applyFill="1" applyBorder="1" applyAlignment="1">
      <alignment vertical="center"/>
    </xf>
    <xf numFmtId="9" fontId="23" fillId="2" borderId="55" xfId="0" applyNumberFormat="1" applyFont="1" applyFill="1" applyBorder="1" applyAlignment="1">
      <alignment horizontal="right" vertical="center"/>
    </xf>
    <xf numFmtId="165" fontId="19" fillId="3" borderId="0" xfId="0" applyNumberFormat="1" applyFont="1" applyFill="1" applyAlignment="1">
      <alignment vertical="center"/>
    </xf>
    <xf numFmtId="9" fontId="23" fillId="2" borderId="55" xfId="2" applyFont="1" applyFill="1" applyBorder="1" applyAlignment="1">
      <alignment horizontal="right" vertical="center"/>
    </xf>
    <xf numFmtId="165" fontId="19" fillId="3" borderId="56" xfId="0" applyNumberFormat="1" applyFont="1" applyFill="1" applyBorder="1" applyAlignment="1">
      <alignment vertical="center"/>
    </xf>
    <xf numFmtId="169" fontId="19" fillId="2" borderId="61" xfId="0" applyNumberFormat="1" applyFont="1" applyFill="1" applyBorder="1" applyAlignment="1">
      <alignment vertical="center"/>
    </xf>
    <xf numFmtId="166" fontId="19" fillId="3" borderId="0" xfId="0" applyNumberFormat="1" applyFont="1" applyFill="1" applyAlignment="1">
      <alignment vertical="center"/>
    </xf>
    <xf numFmtId="164" fontId="19" fillId="2" borderId="63" xfId="0" applyNumberFormat="1" applyFont="1" applyFill="1" applyBorder="1" applyAlignment="1">
      <alignment vertical="center" wrapText="1"/>
    </xf>
    <xf numFmtId="49" fontId="19" fillId="2" borderId="4" xfId="0" applyNumberFormat="1" applyFont="1" applyFill="1" applyBorder="1" applyAlignment="1">
      <alignment vertical="center"/>
    </xf>
    <xf numFmtId="9" fontId="19" fillId="3" borderId="0" xfId="0" applyNumberFormat="1" applyFont="1" applyFill="1" applyAlignment="1">
      <alignment vertical="center"/>
    </xf>
    <xf numFmtId="9" fontId="19" fillId="3" borderId="56" xfId="0" applyNumberFormat="1" applyFont="1" applyFill="1" applyBorder="1" applyAlignment="1">
      <alignment vertical="center"/>
    </xf>
    <xf numFmtId="49" fontId="19" fillId="2" borderId="63" xfId="0" applyNumberFormat="1" applyFont="1" applyFill="1" applyBorder="1" applyAlignment="1">
      <alignment vertical="center" wrapText="1"/>
    </xf>
    <xf numFmtId="49" fontId="21" fillId="2" borderId="4" xfId="0" applyNumberFormat="1" applyFont="1" applyFill="1" applyBorder="1" applyAlignment="1">
      <alignment vertical="center"/>
    </xf>
    <xf numFmtId="0" fontId="19" fillId="0" borderId="64" xfId="0" applyFont="1" applyBorder="1"/>
    <xf numFmtId="9" fontId="23" fillId="2" borderId="62" xfId="0" applyNumberFormat="1" applyFont="1" applyFill="1" applyBorder="1" applyAlignment="1">
      <alignment horizontal="right" vertical="center"/>
    </xf>
    <xf numFmtId="9" fontId="23" fillId="2" borderId="62" xfId="2" applyFont="1" applyFill="1" applyBorder="1" applyAlignment="1">
      <alignment horizontal="right" vertical="center"/>
    </xf>
    <xf numFmtId="165" fontId="19" fillId="3" borderId="65" xfId="0" applyNumberFormat="1" applyFont="1" applyFill="1" applyBorder="1" applyAlignment="1">
      <alignment vertical="center"/>
    </xf>
    <xf numFmtId="49" fontId="17" fillId="4" borderId="34" xfId="0" applyNumberFormat="1" applyFont="1" applyFill="1" applyBorder="1" applyAlignment="1">
      <alignment vertical="center"/>
    </xf>
    <xf numFmtId="169" fontId="17" fillId="4" borderId="66" xfId="0" applyNumberFormat="1" applyFont="1" applyFill="1" applyBorder="1" applyAlignment="1">
      <alignment vertical="center"/>
    </xf>
    <xf numFmtId="169" fontId="17" fillId="4" borderId="67" xfId="0" applyNumberFormat="1" applyFont="1" applyFill="1" applyBorder="1" applyAlignment="1">
      <alignment vertical="center"/>
    </xf>
    <xf numFmtId="9" fontId="21" fillId="4" borderId="68" xfId="0" applyNumberFormat="1" applyFont="1" applyFill="1" applyBorder="1" applyAlignment="1">
      <alignment horizontal="right" vertical="center"/>
    </xf>
    <xf numFmtId="9" fontId="16" fillId="3" borderId="0" xfId="0" applyNumberFormat="1" applyFont="1" applyFill="1" applyAlignment="1">
      <alignment vertical="center"/>
    </xf>
    <xf numFmtId="9" fontId="21" fillId="4" borderId="68" xfId="2" applyFont="1" applyFill="1" applyBorder="1" applyAlignment="1">
      <alignment horizontal="right" vertical="center"/>
    </xf>
    <xf numFmtId="9" fontId="17" fillId="4" borderId="68" xfId="2" applyFont="1" applyFill="1" applyBorder="1" applyAlignment="1">
      <alignment horizontal="right" vertical="center"/>
    </xf>
    <xf numFmtId="169" fontId="16" fillId="4" borderId="66" xfId="0" applyNumberFormat="1" applyFont="1" applyFill="1" applyBorder="1" applyAlignment="1">
      <alignment vertical="center"/>
    </xf>
    <xf numFmtId="169" fontId="16" fillId="4" borderId="67" xfId="0" applyNumberFormat="1" applyFont="1" applyFill="1" applyBorder="1" applyAlignment="1">
      <alignment vertical="center"/>
    </xf>
    <xf numFmtId="9" fontId="16" fillId="4" borderId="68" xfId="2" applyFont="1" applyFill="1" applyBorder="1" applyAlignment="1">
      <alignment horizontal="right" vertical="center"/>
    </xf>
    <xf numFmtId="165" fontId="19" fillId="2" borderId="63" xfId="0" applyNumberFormat="1" applyFont="1" applyFill="1" applyBorder="1" applyAlignment="1">
      <alignment vertical="center" wrapText="1"/>
    </xf>
    <xf numFmtId="164" fontId="16" fillId="2" borderId="37" xfId="0" applyNumberFormat="1" applyFont="1" applyFill="1" applyBorder="1" applyAlignment="1">
      <alignment vertical="center"/>
    </xf>
    <xf numFmtId="169" fontId="19" fillId="2" borderId="51" xfId="0" applyNumberFormat="1" applyFont="1" applyFill="1" applyBorder="1" applyAlignment="1">
      <alignment vertical="center"/>
    </xf>
    <xf numFmtId="169" fontId="19" fillId="2" borderId="52" xfId="0" applyNumberFormat="1" applyFont="1" applyFill="1" applyBorder="1" applyAlignment="1">
      <alignment vertical="center"/>
    </xf>
    <xf numFmtId="9" fontId="19" fillId="2" borderId="69" xfId="0" applyNumberFormat="1" applyFont="1" applyFill="1" applyBorder="1" applyAlignment="1">
      <alignment vertical="center"/>
    </xf>
    <xf numFmtId="169" fontId="19" fillId="5" borderId="51" xfId="0" applyNumberFormat="1" applyFont="1" applyFill="1" applyBorder="1" applyAlignment="1">
      <alignment vertical="center"/>
    </xf>
    <xf numFmtId="169" fontId="19" fillId="5" borderId="52" xfId="0" applyNumberFormat="1" applyFont="1" applyFill="1" applyBorder="1" applyAlignment="1">
      <alignment vertical="center"/>
    </xf>
    <xf numFmtId="9" fontId="19" fillId="5" borderId="69" xfId="0" applyNumberFormat="1" applyFont="1" applyFill="1" applyBorder="1" applyAlignment="1">
      <alignment vertical="center"/>
    </xf>
    <xf numFmtId="9" fontId="19" fillId="2" borderId="69" xfId="2" applyFont="1" applyFill="1" applyBorder="1" applyAlignment="1">
      <alignment vertical="center"/>
    </xf>
    <xf numFmtId="9" fontId="23" fillId="5" borderId="69" xfId="2" applyFont="1" applyFill="1" applyBorder="1" applyAlignment="1">
      <alignment horizontal="right" vertical="center"/>
    </xf>
    <xf numFmtId="169" fontId="19" fillId="2" borderId="59" xfId="0" applyNumberFormat="1" applyFont="1" applyFill="1" applyBorder="1" applyAlignment="1">
      <alignment vertical="center"/>
    </xf>
    <xf numFmtId="9" fontId="23" fillId="2" borderId="70" xfId="0" applyNumberFormat="1" applyFont="1" applyFill="1" applyBorder="1" applyAlignment="1">
      <alignment horizontal="right" vertical="center"/>
    </xf>
    <xf numFmtId="9" fontId="23" fillId="5" borderId="70" xfId="0" applyNumberFormat="1" applyFont="1" applyFill="1" applyBorder="1" applyAlignment="1">
      <alignment horizontal="right" vertical="center"/>
    </xf>
    <xf numFmtId="9" fontId="23" fillId="2" borderId="70" xfId="2" applyFont="1" applyFill="1" applyBorder="1" applyAlignment="1">
      <alignment horizontal="right" vertical="center"/>
    </xf>
    <xf numFmtId="9" fontId="23" fillId="5" borderId="70" xfId="2" applyFont="1" applyFill="1" applyBorder="1" applyAlignment="1">
      <alignment horizontal="right" vertical="center"/>
    </xf>
    <xf numFmtId="169" fontId="19" fillId="2" borderId="58" xfId="0" applyNumberFormat="1" applyFont="1" applyFill="1" applyBorder="1" applyAlignment="1">
      <alignment vertical="center"/>
    </xf>
    <xf numFmtId="9" fontId="19" fillId="2" borderId="70" xfId="2" applyFont="1" applyFill="1" applyBorder="1" applyAlignment="1">
      <alignment vertical="center"/>
    </xf>
    <xf numFmtId="164" fontId="27" fillId="2" borderId="32" xfId="0" applyNumberFormat="1" applyFont="1" applyFill="1" applyBorder="1" applyAlignment="1">
      <alignment vertical="center"/>
    </xf>
    <xf numFmtId="169" fontId="16" fillId="2" borderId="66" xfId="0" applyNumberFormat="1" applyFont="1" applyFill="1" applyBorder="1" applyAlignment="1">
      <alignment vertical="center"/>
    </xf>
    <xf numFmtId="169" fontId="16" fillId="2" borderId="67" xfId="0" applyNumberFormat="1" applyFont="1" applyFill="1" applyBorder="1" applyAlignment="1">
      <alignment vertical="center"/>
    </xf>
    <xf numFmtId="9" fontId="16" fillId="2" borderId="68" xfId="0" applyNumberFormat="1" applyFont="1" applyFill="1" applyBorder="1" applyAlignment="1">
      <alignment vertical="center"/>
    </xf>
    <xf numFmtId="169" fontId="16" fillId="5" borderId="66" xfId="0" applyNumberFormat="1" applyFont="1" applyFill="1" applyBorder="1" applyAlignment="1">
      <alignment vertical="center"/>
    </xf>
    <xf numFmtId="169" fontId="16" fillId="5" borderId="67" xfId="0" applyNumberFormat="1" applyFont="1" applyFill="1" applyBorder="1" applyAlignment="1">
      <alignment vertical="center"/>
    </xf>
    <xf numFmtId="9" fontId="19" fillId="5" borderId="68" xfId="0" applyNumberFormat="1" applyFont="1" applyFill="1" applyBorder="1" applyAlignment="1">
      <alignment vertical="center"/>
    </xf>
    <xf numFmtId="9" fontId="16" fillId="2" borderId="68" xfId="2" applyFont="1" applyFill="1" applyBorder="1" applyAlignment="1">
      <alignment vertical="center"/>
    </xf>
    <xf numFmtId="9" fontId="23" fillId="5" borderId="68" xfId="2" applyFont="1" applyFill="1" applyBorder="1" applyAlignment="1">
      <alignment horizontal="right" vertical="center"/>
    </xf>
    <xf numFmtId="169" fontId="17" fillId="4" borderId="71" xfId="0" applyNumberFormat="1" applyFont="1" applyFill="1" applyBorder="1" applyAlignment="1">
      <alignment vertical="center"/>
    </xf>
    <xf numFmtId="169" fontId="17" fillId="4" borderId="72" xfId="0" applyNumberFormat="1" applyFont="1" applyFill="1" applyBorder="1" applyAlignment="1">
      <alignment vertical="center"/>
    </xf>
    <xf numFmtId="9" fontId="21" fillId="4" borderId="73" xfId="0" applyNumberFormat="1" applyFont="1" applyFill="1" applyBorder="1" applyAlignment="1">
      <alignment horizontal="right" vertical="center"/>
    </xf>
    <xf numFmtId="9" fontId="21" fillId="4" borderId="73" xfId="2" applyFont="1" applyFill="1" applyBorder="1" applyAlignment="1">
      <alignment horizontal="right" vertical="center"/>
    </xf>
    <xf numFmtId="169" fontId="16" fillId="4" borderId="71" xfId="0" applyNumberFormat="1" applyFont="1" applyFill="1" applyBorder="1" applyAlignment="1">
      <alignment vertical="center"/>
    </xf>
    <xf numFmtId="169" fontId="16" fillId="4" borderId="72" xfId="0" applyNumberFormat="1" applyFont="1" applyFill="1" applyBorder="1" applyAlignment="1">
      <alignment vertical="center"/>
    </xf>
    <xf numFmtId="9" fontId="16" fillId="4" borderId="73" xfId="2" applyFont="1" applyFill="1" applyBorder="1" applyAlignment="1">
      <alignment horizontal="right" vertical="center"/>
    </xf>
    <xf numFmtId="164" fontId="19" fillId="2" borderId="37" xfId="0" applyNumberFormat="1" applyFont="1" applyFill="1" applyBorder="1" applyAlignment="1">
      <alignment vertical="center"/>
    </xf>
    <xf numFmtId="169" fontId="16" fillId="2" borderId="51" xfId="0" applyNumberFormat="1" applyFont="1" applyFill="1" applyBorder="1" applyAlignment="1">
      <alignment vertical="center"/>
    </xf>
    <xf numFmtId="169" fontId="16" fillId="2" borderId="52" xfId="0" applyNumberFormat="1" applyFont="1" applyFill="1" applyBorder="1" applyAlignment="1">
      <alignment vertical="center"/>
    </xf>
    <xf numFmtId="9" fontId="16" fillId="2" borderId="69" xfId="0" applyNumberFormat="1" applyFont="1" applyFill="1" applyBorder="1" applyAlignment="1">
      <alignment vertical="center"/>
    </xf>
    <xf numFmtId="169" fontId="16" fillId="5" borderId="51" xfId="0" applyNumberFormat="1" applyFont="1" applyFill="1" applyBorder="1" applyAlignment="1">
      <alignment vertical="center"/>
    </xf>
    <xf numFmtId="169" fontId="16" fillId="5" borderId="52" xfId="0" applyNumberFormat="1" applyFont="1" applyFill="1" applyBorder="1" applyAlignment="1">
      <alignment vertical="center"/>
    </xf>
    <xf numFmtId="9" fontId="16" fillId="5" borderId="69" xfId="0" applyNumberFormat="1" applyFont="1" applyFill="1" applyBorder="1" applyAlignment="1">
      <alignment vertical="center"/>
    </xf>
    <xf numFmtId="9" fontId="16" fillId="2" borderId="69" xfId="2" applyFont="1" applyFill="1" applyBorder="1" applyAlignment="1">
      <alignment vertical="center"/>
    </xf>
    <xf numFmtId="9" fontId="16" fillId="5" borderId="69" xfId="2" applyFont="1" applyFill="1" applyBorder="1" applyAlignment="1">
      <alignment vertical="center"/>
    </xf>
    <xf numFmtId="9" fontId="19" fillId="2" borderId="70" xfId="0" applyNumberFormat="1" applyFont="1" applyFill="1" applyBorder="1" applyAlignment="1">
      <alignment vertical="center"/>
    </xf>
    <xf numFmtId="169" fontId="19" fillId="5" borderId="58" xfId="0" applyNumberFormat="1" applyFont="1" applyFill="1" applyBorder="1" applyAlignment="1">
      <alignment vertical="center"/>
    </xf>
    <xf numFmtId="169" fontId="19" fillId="5" borderId="59" xfId="0" applyNumberFormat="1" applyFont="1" applyFill="1" applyBorder="1" applyAlignment="1">
      <alignment vertical="center"/>
    </xf>
    <xf numFmtId="9" fontId="19" fillId="5" borderId="70" xfId="0" applyNumberFormat="1" applyFont="1" applyFill="1" applyBorder="1" applyAlignment="1">
      <alignment vertical="center"/>
    </xf>
    <xf numFmtId="9" fontId="19" fillId="5" borderId="70" xfId="2" applyFont="1" applyFill="1" applyBorder="1" applyAlignment="1">
      <alignment vertical="center"/>
    </xf>
    <xf numFmtId="9" fontId="23" fillId="3" borderId="0" xfId="0" applyNumberFormat="1" applyFont="1" applyFill="1" applyAlignment="1">
      <alignment horizontal="right" vertical="center"/>
    </xf>
    <xf numFmtId="166" fontId="23" fillId="3" borderId="0" xfId="0" applyNumberFormat="1" applyFont="1" applyFill="1" applyAlignment="1">
      <alignment horizontal="right" vertical="center"/>
    </xf>
    <xf numFmtId="49" fontId="19" fillId="2" borderId="32" xfId="0" applyNumberFormat="1" applyFont="1" applyFill="1" applyBorder="1" applyAlignment="1">
      <alignment vertical="center"/>
    </xf>
    <xf numFmtId="9" fontId="23" fillId="2" borderId="68" xfId="0" applyNumberFormat="1" applyFont="1" applyFill="1" applyBorder="1" applyAlignment="1">
      <alignment horizontal="right" vertical="center"/>
    </xf>
    <xf numFmtId="9" fontId="23" fillId="5" borderId="68" xfId="0" applyNumberFormat="1" applyFont="1" applyFill="1" applyBorder="1" applyAlignment="1">
      <alignment horizontal="right" vertical="center"/>
    </xf>
    <xf numFmtId="9" fontId="23" fillId="2" borderId="68" xfId="2" applyFont="1" applyFill="1" applyBorder="1" applyAlignment="1">
      <alignment horizontal="right" vertical="center"/>
    </xf>
    <xf numFmtId="169" fontId="19" fillId="2" borderId="66" xfId="0" applyNumberFormat="1" applyFont="1" applyFill="1" applyBorder="1" applyAlignment="1">
      <alignment vertical="center"/>
    </xf>
    <xf numFmtId="169" fontId="19" fillId="2" borderId="67" xfId="0" applyNumberFormat="1" applyFont="1" applyFill="1" applyBorder="1" applyAlignment="1">
      <alignment vertical="center"/>
    </xf>
    <xf numFmtId="9" fontId="23" fillId="4" borderId="73" xfId="2" applyFont="1" applyFill="1" applyBorder="1" applyAlignment="1">
      <alignment horizontal="right" vertical="center"/>
    </xf>
    <xf numFmtId="9" fontId="19" fillId="5" borderId="69" xfId="2" applyFont="1" applyFill="1" applyBorder="1" applyAlignment="1">
      <alignment vertical="center"/>
    </xf>
    <xf numFmtId="169" fontId="16" fillId="2" borderId="58" xfId="0" applyNumberFormat="1" applyFont="1" applyFill="1" applyBorder="1" applyAlignment="1">
      <alignment vertical="center"/>
    </xf>
    <xf numFmtId="169" fontId="16" fillId="2" borderId="59" xfId="0" applyNumberFormat="1" applyFont="1" applyFill="1" applyBorder="1" applyAlignment="1">
      <alignment vertical="center"/>
    </xf>
    <xf numFmtId="9" fontId="16" fillId="2" borderId="70" xfId="0" applyNumberFormat="1" applyFont="1" applyFill="1" applyBorder="1" applyAlignment="1">
      <alignment vertical="center"/>
    </xf>
    <xf numFmtId="169" fontId="16" fillId="5" borderId="58" xfId="0" applyNumberFormat="1" applyFont="1" applyFill="1" applyBorder="1" applyAlignment="1">
      <alignment vertical="center"/>
    </xf>
    <xf numFmtId="169" fontId="16" fillId="5" borderId="59" xfId="0" applyNumberFormat="1" applyFont="1" applyFill="1" applyBorder="1" applyAlignment="1">
      <alignment vertical="center"/>
    </xf>
    <xf numFmtId="9" fontId="16" fillId="5" borderId="70" xfId="0" applyNumberFormat="1" applyFont="1" applyFill="1" applyBorder="1" applyAlignment="1">
      <alignment vertical="center"/>
    </xf>
    <xf numFmtId="9" fontId="16" fillId="2" borderId="70" xfId="2" applyFont="1" applyFill="1" applyBorder="1" applyAlignment="1">
      <alignment vertical="center"/>
    </xf>
    <xf numFmtId="9" fontId="16" fillId="5" borderId="70" xfId="2" applyFont="1" applyFill="1" applyBorder="1" applyAlignment="1">
      <alignment vertical="center"/>
    </xf>
    <xf numFmtId="49" fontId="23" fillId="2" borderId="63" xfId="0" applyNumberFormat="1" applyFont="1" applyFill="1" applyBorder="1" applyAlignment="1">
      <alignment horizontal="justify" vertical="center" wrapText="1"/>
    </xf>
    <xf numFmtId="49" fontId="28" fillId="2" borderId="4" xfId="0" applyNumberFormat="1" applyFont="1" applyFill="1" applyBorder="1" applyAlignment="1">
      <alignment vertical="center"/>
    </xf>
    <xf numFmtId="164" fontId="19" fillId="2" borderId="4" xfId="0" applyNumberFormat="1" applyFont="1" applyFill="1" applyBorder="1" applyAlignment="1">
      <alignment vertical="center"/>
    </xf>
    <xf numFmtId="164" fontId="27" fillId="2" borderId="34" xfId="0" applyNumberFormat="1" applyFont="1" applyFill="1" applyBorder="1" applyAlignment="1">
      <alignment vertical="center"/>
    </xf>
    <xf numFmtId="169" fontId="16" fillId="2" borderId="71" xfId="0" applyNumberFormat="1" applyFont="1" applyFill="1" applyBorder="1" applyAlignment="1">
      <alignment vertical="center"/>
    </xf>
    <xf numFmtId="169" fontId="16" fillId="2" borderId="72" xfId="0" applyNumberFormat="1" applyFont="1" applyFill="1" applyBorder="1" applyAlignment="1">
      <alignment vertical="center"/>
    </xf>
    <xf numFmtId="9" fontId="16" fillId="2" borderId="73" xfId="0" applyNumberFormat="1" applyFont="1" applyFill="1" applyBorder="1" applyAlignment="1">
      <alignment vertical="center"/>
    </xf>
    <xf numFmtId="169" fontId="16" fillId="5" borderId="71" xfId="0" applyNumberFormat="1" applyFont="1" applyFill="1" applyBorder="1" applyAlignment="1">
      <alignment vertical="center"/>
    </xf>
    <xf numFmtId="169" fontId="16" fillId="5" borderId="72" xfId="0" applyNumberFormat="1" applyFont="1" applyFill="1" applyBorder="1" applyAlignment="1">
      <alignment vertical="center"/>
    </xf>
    <xf numFmtId="9" fontId="16" fillId="5" borderId="73" xfId="0" applyNumberFormat="1" applyFont="1" applyFill="1" applyBorder="1" applyAlignment="1">
      <alignment vertical="center"/>
    </xf>
    <xf numFmtId="165" fontId="16" fillId="2" borderId="73" xfId="0" applyNumberFormat="1" applyFont="1" applyFill="1" applyBorder="1" applyAlignment="1">
      <alignment vertical="center"/>
    </xf>
    <xf numFmtId="9" fontId="23" fillId="5" borderId="73" xfId="0" applyNumberFormat="1" applyFont="1" applyFill="1" applyBorder="1" applyAlignment="1">
      <alignment horizontal="right" vertical="center"/>
    </xf>
    <xf numFmtId="169" fontId="19" fillId="2" borderId="71" xfId="0" applyNumberFormat="1" applyFont="1" applyFill="1" applyBorder="1" applyAlignment="1">
      <alignment vertical="center"/>
    </xf>
    <xf numFmtId="169" fontId="19" fillId="2" borderId="72" xfId="0" applyNumberFormat="1" applyFont="1" applyFill="1" applyBorder="1" applyAlignment="1">
      <alignment vertical="center"/>
    </xf>
    <xf numFmtId="167" fontId="17" fillId="8" borderId="23" xfId="1" applyNumberFormat="1" applyFont="1" applyFill="1" applyBorder="1" applyAlignment="1" applyProtection="1">
      <alignment wrapText="1"/>
    </xf>
    <xf numFmtId="9" fontId="16" fillId="2" borderId="71" xfId="0" applyNumberFormat="1" applyFont="1" applyFill="1" applyBorder="1" applyAlignment="1">
      <alignment vertical="center"/>
    </xf>
    <xf numFmtId="165" fontId="16" fillId="2" borderId="71" xfId="0" applyNumberFormat="1" applyFont="1" applyFill="1" applyBorder="1" applyAlignment="1">
      <alignment vertical="center"/>
    </xf>
    <xf numFmtId="167" fontId="17" fillId="0" borderId="23" xfId="1" applyNumberFormat="1" applyFont="1" applyFill="1" applyBorder="1" applyAlignment="1" applyProtection="1">
      <alignment wrapText="1"/>
    </xf>
    <xf numFmtId="165" fontId="16" fillId="5" borderId="73" xfId="0" applyNumberFormat="1" applyFont="1" applyFill="1" applyBorder="1" applyAlignment="1">
      <alignment vertical="center"/>
    </xf>
    <xf numFmtId="167" fontId="17" fillId="8" borderId="21" xfId="1" applyNumberFormat="1" applyFont="1" applyFill="1" applyBorder="1" applyAlignment="1" applyProtection="1">
      <alignment wrapText="1"/>
    </xf>
    <xf numFmtId="49" fontId="23" fillId="2" borderId="70" xfId="0" applyNumberFormat="1" applyFont="1" applyFill="1" applyBorder="1" applyAlignment="1">
      <alignment horizontal="right" vertical="center"/>
    </xf>
    <xf numFmtId="49" fontId="23" fillId="5" borderId="70" xfId="0" applyNumberFormat="1" applyFont="1" applyFill="1" applyBorder="1" applyAlignment="1">
      <alignment horizontal="right" vertical="center"/>
    </xf>
    <xf numFmtId="49" fontId="17" fillId="4" borderId="39" xfId="0" applyNumberFormat="1" applyFont="1" applyFill="1" applyBorder="1" applyAlignment="1">
      <alignment vertical="center"/>
    </xf>
    <xf numFmtId="169" fontId="17" fillId="4" borderId="74" xfId="0" applyNumberFormat="1" applyFont="1" applyFill="1" applyBorder="1" applyAlignment="1">
      <alignment vertical="center"/>
    </xf>
    <xf numFmtId="169" fontId="17" fillId="4" borderId="75" xfId="0" applyNumberFormat="1" applyFont="1" applyFill="1" applyBorder="1" applyAlignment="1">
      <alignment vertical="center"/>
    </xf>
    <xf numFmtId="9" fontId="21" fillId="4" borderId="76" xfId="0" applyNumberFormat="1" applyFont="1" applyFill="1" applyBorder="1" applyAlignment="1">
      <alignment horizontal="right" vertical="center"/>
    </xf>
    <xf numFmtId="9" fontId="16" fillId="3" borderId="7" xfId="0" applyNumberFormat="1" applyFont="1" applyFill="1" applyBorder="1" applyAlignment="1">
      <alignment vertical="center"/>
    </xf>
    <xf numFmtId="169" fontId="16" fillId="4" borderId="74" xfId="0" applyNumberFormat="1" applyFont="1" applyFill="1" applyBorder="1" applyAlignment="1">
      <alignment vertical="center"/>
    </xf>
    <xf numFmtId="169" fontId="16" fillId="4" borderId="75" xfId="0" applyNumberFormat="1" applyFont="1" applyFill="1" applyBorder="1" applyAlignment="1">
      <alignment vertical="center"/>
    </xf>
    <xf numFmtId="9" fontId="23" fillId="4" borderId="76" xfId="0" applyNumberFormat="1" applyFont="1" applyFill="1" applyBorder="1" applyAlignment="1">
      <alignment horizontal="right" vertical="center"/>
    </xf>
    <xf numFmtId="9" fontId="19" fillId="0" borderId="0" xfId="0" applyNumberFormat="1" applyFont="1"/>
    <xf numFmtId="9" fontId="19" fillId="0" borderId="0" xfId="2" applyFont="1" applyAlignment="1"/>
    <xf numFmtId="49" fontId="19" fillId="2" borderId="4" xfId="0" applyNumberFormat="1" applyFont="1" applyFill="1" applyBorder="1"/>
    <xf numFmtId="49" fontId="19" fillId="2" borderId="32" xfId="0" applyNumberFormat="1" applyFont="1" applyFill="1" applyBorder="1"/>
    <xf numFmtId="164" fontId="19" fillId="2" borderId="32" xfId="0" applyNumberFormat="1" applyFont="1" applyFill="1" applyBorder="1"/>
    <xf numFmtId="164" fontId="16" fillId="2" borderId="6" xfId="0" applyNumberFormat="1" applyFont="1" applyFill="1" applyBorder="1"/>
    <xf numFmtId="169" fontId="16" fillId="2" borderId="0" xfId="0" applyNumberFormat="1" applyFont="1" applyFill="1"/>
    <xf numFmtId="169" fontId="16" fillId="2" borderId="7" xfId="0" applyNumberFormat="1" applyFont="1" applyFill="1" applyBorder="1"/>
    <xf numFmtId="164" fontId="17" fillId="4" borderId="11" xfId="0" applyNumberFormat="1" applyFont="1" applyFill="1" applyBorder="1" applyAlignment="1">
      <alignment horizontal="center" vertical="center"/>
    </xf>
    <xf numFmtId="169" fontId="17" fillId="4" borderId="18" xfId="0" applyNumberFormat="1" applyFont="1" applyFill="1" applyBorder="1" applyAlignment="1">
      <alignment horizontal="center" vertical="center" wrapText="1"/>
    </xf>
    <xf numFmtId="164" fontId="17" fillId="4" borderId="9" xfId="0" applyNumberFormat="1" applyFont="1" applyFill="1" applyBorder="1"/>
    <xf numFmtId="14" fontId="17" fillId="4" borderId="0" xfId="0" applyNumberFormat="1" applyFont="1" applyFill="1" applyAlignment="1">
      <alignment horizontal="center"/>
    </xf>
    <xf numFmtId="164" fontId="17" fillId="4" borderId="30" xfId="0" applyNumberFormat="1" applyFont="1" applyFill="1" applyBorder="1"/>
    <xf numFmtId="169" fontId="17" fillId="4" borderId="14" xfId="0" applyNumberFormat="1" applyFont="1" applyFill="1" applyBorder="1" applyAlignment="1">
      <alignment horizontal="center"/>
    </xf>
    <xf numFmtId="169" fontId="17" fillId="4" borderId="7" xfId="0" applyNumberFormat="1" applyFont="1" applyFill="1" applyBorder="1" applyAlignment="1">
      <alignment horizontal="center"/>
    </xf>
    <xf numFmtId="49" fontId="17" fillId="2" borderId="31" xfId="0" applyNumberFormat="1" applyFont="1" applyFill="1" applyBorder="1"/>
    <xf numFmtId="169" fontId="23" fillId="2" borderId="15" xfId="0" applyNumberFormat="1" applyFont="1" applyFill="1" applyBorder="1"/>
    <xf numFmtId="169" fontId="23" fillId="2" borderId="18" xfId="0" applyNumberFormat="1" applyFont="1" applyFill="1" applyBorder="1"/>
    <xf numFmtId="49" fontId="17" fillId="2" borderId="4" xfId="0" applyNumberFormat="1" applyFont="1" applyFill="1" applyBorder="1"/>
    <xf numFmtId="169" fontId="23" fillId="2" borderId="0" xfId="0" applyNumberFormat="1" applyFont="1" applyFill="1"/>
    <xf numFmtId="49" fontId="21" fillId="2" borderId="4" xfId="0" applyNumberFormat="1" applyFont="1" applyFill="1" applyBorder="1"/>
    <xf numFmtId="49" fontId="23" fillId="2" borderId="4" xfId="0" applyNumberFormat="1" applyFont="1" applyFill="1" applyBorder="1"/>
    <xf numFmtId="49" fontId="23" fillId="2" borderId="32" xfId="0" applyNumberFormat="1" applyFont="1" applyFill="1" applyBorder="1"/>
    <xf numFmtId="49" fontId="17" fillId="4" borderId="34" xfId="0" applyNumberFormat="1" applyFont="1" applyFill="1" applyBorder="1"/>
    <xf numFmtId="164" fontId="23" fillId="2" borderId="37" xfId="0" applyNumberFormat="1" applyFont="1" applyFill="1" applyBorder="1"/>
    <xf numFmtId="49" fontId="16" fillId="2" borderId="4" xfId="0" applyNumberFormat="1" applyFont="1" applyFill="1" applyBorder="1"/>
    <xf numFmtId="164" fontId="16" fillId="2" borderId="37" xfId="0" applyNumberFormat="1" applyFont="1" applyFill="1" applyBorder="1"/>
    <xf numFmtId="164" fontId="24" fillId="2" borderId="32" xfId="0" applyNumberFormat="1" applyFont="1" applyFill="1" applyBorder="1"/>
    <xf numFmtId="164" fontId="24" fillId="2" borderId="37" xfId="0" applyNumberFormat="1" applyFont="1" applyFill="1" applyBorder="1"/>
    <xf numFmtId="164" fontId="21" fillId="2" borderId="4" xfId="0" applyNumberFormat="1" applyFont="1" applyFill="1" applyBorder="1"/>
    <xf numFmtId="49" fontId="23" fillId="2" borderId="4" xfId="0" applyNumberFormat="1" applyFont="1" applyFill="1" applyBorder="1" applyAlignment="1">
      <alignment horizontal="left"/>
    </xf>
    <xf numFmtId="164" fontId="21" fillId="2" borderId="37" xfId="0" applyNumberFormat="1" applyFont="1" applyFill="1" applyBorder="1"/>
    <xf numFmtId="164" fontId="21" fillId="2" borderId="34" xfId="0" applyNumberFormat="1" applyFont="1" applyFill="1" applyBorder="1"/>
    <xf numFmtId="49" fontId="17" fillId="4" borderId="39" xfId="0" applyNumberFormat="1" applyFont="1" applyFill="1" applyBorder="1" applyAlignment="1">
      <alignment wrapText="1"/>
    </xf>
    <xf numFmtId="10" fontId="16" fillId="5" borderId="2" xfId="0" applyNumberFormat="1" applyFont="1" applyFill="1" applyBorder="1" applyAlignment="1">
      <alignment vertical="center"/>
    </xf>
    <xf numFmtId="10" fontId="16" fillId="5" borderId="0" xfId="0" applyNumberFormat="1" applyFont="1" applyFill="1" applyAlignment="1">
      <alignment vertical="center"/>
    </xf>
    <xf numFmtId="10" fontId="17" fillId="5" borderId="0" xfId="0" applyNumberFormat="1" applyFont="1" applyFill="1" applyAlignment="1">
      <alignment vertical="center"/>
    </xf>
    <xf numFmtId="10" fontId="19" fillId="2" borderId="0" xfId="0" applyNumberFormat="1" applyFont="1" applyFill="1" applyAlignment="1">
      <alignment vertical="center"/>
    </xf>
    <xf numFmtId="10" fontId="17" fillId="4" borderId="57" xfId="0" applyNumberFormat="1" applyFont="1" applyFill="1" applyBorder="1" applyAlignment="1">
      <alignment horizontal="center" vertical="center"/>
    </xf>
    <xf numFmtId="10" fontId="21" fillId="4" borderId="68" xfId="0" applyNumberFormat="1" applyFont="1" applyFill="1" applyBorder="1" applyAlignment="1">
      <alignment horizontal="right" vertical="center"/>
    </xf>
    <xf numFmtId="10" fontId="19" fillId="5" borderId="69" xfId="0" applyNumberFormat="1" applyFont="1" applyFill="1" applyBorder="1" applyAlignment="1">
      <alignment vertical="center"/>
    </xf>
    <xf numFmtId="10" fontId="23" fillId="5" borderId="70" xfId="0" applyNumberFormat="1" applyFont="1" applyFill="1" applyBorder="1" applyAlignment="1">
      <alignment horizontal="right" vertical="center"/>
    </xf>
    <xf numFmtId="10" fontId="19" fillId="5" borderId="68" xfId="0" applyNumberFormat="1" applyFont="1" applyFill="1" applyBorder="1" applyAlignment="1">
      <alignment vertical="center"/>
    </xf>
    <xf numFmtId="10" fontId="21" fillId="4" borderId="73" xfId="0" applyNumberFormat="1" applyFont="1" applyFill="1" applyBorder="1" applyAlignment="1">
      <alignment horizontal="right" vertical="center"/>
    </xf>
    <xf numFmtId="10" fontId="16" fillId="5" borderId="69" xfId="0" applyNumberFormat="1" applyFont="1" applyFill="1" applyBorder="1" applyAlignment="1">
      <alignment vertical="center"/>
    </xf>
    <xf numFmtId="10" fontId="19" fillId="5" borderId="70" xfId="0" applyNumberFormat="1" applyFont="1" applyFill="1" applyBorder="1" applyAlignment="1">
      <alignment vertical="center"/>
    </xf>
    <xf numFmtId="10" fontId="23" fillId="5" borderId="68" xfId="0" applyNumberFormat="1" applyFont="1" applyFill="1" applyBorder="1" applyAlignment="1">
      <alignment horizontal="right" vertical="center"/>
    </xf>
    <xf numFmtId="10" fontId="16" fillId="5" borderId="70" xfId="0" applyNumberFormat="1" applyFont="1" applyFill="1" applyBorder="1" applyAlignment="1">
      <alignment vertical="center"/>
    </xf>
    <xf numFmtId="10" fontId="19" fillId="0" borderId="0" xfId="0" applyNumberFormat="1" applyFont="1"/>
    <xf numFmtId="3" fontId="17" fillId="4" borderId="14" xfId="0" applyNumberFormat="1" applyFont="1" applyFill="1" applyBorder="1" applyAlignment="1">
      <alignment horizontal="center"/>
    </xf>
    <xf numFmtId="3" fontId="17" fillId="4" borderId="7" xfId="0" applyNumberFormat="1" applyFont="1" applyFill="1" applyBorder="1" applyAlignment="1">
      <alignment horizontal="center"/>
    </xf>
    <xf numFmtId="3" fontId="19" fillId="0" borderId="0" xfId="0" applyNumberFormat="1" applyFont="1"/>
    <xf numFmtId="10" fontId="17" fillId="4" borderId="26" xfId="0" applyNumberFormat="1" applyFont="1" applyFill="1" applyBorder="1" applyAlignment="1">
      <alignment horizontal="center" vertical="center"/>
    </xf>
    <xf numFmtId="166" fontId="16" fillId="2" borderId="0" xfId="0" applyNumberFormat="1" applyFont="1" applyFill="1" applyAlignment="1">
      <alignment vertical="center"/>
    </xf>
    <xf numFmtId="166" fontId="16" fillId="2" borderId="0" xfId="0" applyNumberFormat="1" applyFont="1" applyFill="1"/>
    <xf numFmtId="166" fontId="16" fillId="2" borderId="7" xfId="0" applyNumberFormat="1" applyFont="1" applyFill="1" applyBorder="1"/>
    <xf numFmtId="166" fontId="17" fillId="4" borderId="12" xfId="0" applyNumberFormat="1" applyFont="1" applyFill="1" applyBorder="1" applyAlignment="1">
      <alignment horizontal="center" vertical="center" wrapText="1"/>
    </xf>
    <xf numFmtId="166" fontId="17" fillId="4" borderId="18" xfId="0" applyNumberFormat="1" applyFont="1" applyFill="1" applyBorder="1" applyAlignment="1">
      <alignment horizontal="center" vertical="center" wrapText="1"/>
    </xf>
    <xf numFmtId="166" fontId="17" fillId="4" borderId="14" xfId="0" applyNumberFormat="1" applyFont="1" applyFill="1" applyBorder="1" applyAlignment="1">
      <alignment horizontal="center"/>
    </xf>
    <xf numFmtId="166" fontId="17" fillId="4" borderId="0" xfId="0" applyNumberFormat="1" applyFont="1" applyFill="1" applyAlignment="1">
      <alignment horizontal="center"/>
    </xf>
    <xf numFmtId="166" fontId="17" fillId="4" borderId="7" xfId="0" applyNumberFormat="1" applyFont="1" applyFill="1" applyBorder="1" applyAlignment="1">
      <alignment horizontal="center"/>
    </xf>
    <xf numFmtId="166" fontId="23" fillId="2" borderId="104" xfId="0" applyNumberFormat="1" applyFont="1" applyFill="1" applyBorder="1"/>
    <xf numFmtId="166" fontId="23" fillId="2" borderId="12" xfId="0" applyNumberFormat="1" applyFont="1" applyFill="1" applyBorder="1"/>
    <xf numFmtId="166" fontId="23" fillId="2" borderId="103" xfId="0" applyNumberFormat="1" applyFont="1" applyFill="1" applyBorder="1"/>
    <xf numFmtId="166" fontId="23" fillId="2" borderId="18" xfId="0" applyNumberFormat="1" applyFont="1" applyFill="1" applyBorder="1"/>
    <xf numFmtId="166" fontId="23" fillId="2" borderId="15" xfId="0" applyNumberFormat="1" applyFont="1" applyFill="1" applyBorder="1"/>
    <xf numFmtId="166" fontId="23" fillId="2" borderId="19" xfId="0" applyNumberFormat="1" applyFont="1" applyFill="1" applyBorder="1"/>
    <xf numFmtId="166" fontId="23" fillId="2" borderId="13" xfId="0" applyNumberFormat="1" applyFont="1" applyFill="1" applyBorder="1"/>
    <xf numFmtId="166" fontId="23" fillId="2" borderId="26" xfId="0" applyNumberFormat="1" applyFont="1" applyFill="1" applyBorder="1"/>
    <xf numFmtId="166" fontId="23" fillId="2" borderId="0" xfId="0" applyNumberFormat="1" applyFont="1" applyFill="1"/>
    <xf numFmtId="166" fontId="23" fillId="2" borderId="16" xfId="0" applyNumberFormat="1" applyFont="1" applyFill="1" applyBorder="1"/>
    <xf numFmtId="166" fontId="23" fillId="2" borderId="33" xfId="0" applyNumberFormat="1" applyFont="1" applyFill="1" applyBorder="1"/>
    <xf numFmtId="166" fontId="16" fillId="4" borderId="102" xfId="0" applyNumberFormat="1" applyFont="1" applyFill="1" applyBorder="1"/>
    <xf numFmtId="166" fontId="16" fillId="4" borderId="35" xfId="0" applyNumberFormat="1" applyFont="1" applyFill="1" applyBorder="1"/>
    <xf numFmtId="166" fontId="16" fillId="4" borderId="101" xfId="0" applyNumberFormat="1" applyFont="1" applyFill="1" applyBorder="1"/>
    <xf numFmtId="166" fontId="23" fillId="2" borderId="80" xfId="0" applyNumberFormat="1" applyFont="1" applyFill="1" applyBorder="1"/>
    <xf numFmtId="166" fontId="23" fillId="2" borderId="17" xfId="0" applyNumberFormat="1" applyFont="1" applyFill="1" applyBorder="1"/>
    <xf numFmtId="166" fontId="23" fillId="2" borderId="48" xfId="0" applyNumberFormat="1" applyFont="1" applyFill="1" applyBorder="1"/>
    <xf numFmtId="166" fontId="23" fillId="2" borderId="38" xfId="0" applyNumberFormat="1" applyFont="1" applyFill="1" applyBorder="1"/>
    <xf numFmtId="166" fontId="23" fillId="5" borderId="16" xfId="0" applyNumberFormat="1" applyFont="1" applyFill="1" applyBorder="1"/>
    <xf numFmtId="166" fontId="19" fillId="2" borderId="19" xfId="0" applyNumberFormat="1" applyFont="1" applyFill="1" applyBorder="1"/>
    <xf numFmtId="166" fontId="19" fillId="2" borderId="13" xfId="0" applyNumberFormat="1" applyFont="1" applyFill="1" applyBorder="1"/>
    <xf numFmtId="166" fontId="19" fillId="2" borderId="26" xfId="0" applyNumberFormat="1" applyFont="1" applyFill="1" applyBorder="1"/>
    <xf numFmtId="166" fontId="19" fillId="2" borderId="0" xfId="0" applyNumberFormat="1" applyFont="1" applyFill="1"/>
    <xf numFmtId="166" fontId="19" fillId="2" borderId="16" xfId="0" applyNumberFormat="1" applyFont="1" applyFill="1" applyBorder="1"/>
    <xf numFmtId="166" fontId="16" fillId="2" borderId="80" xfId="0" applyNumberFormat="1" applyFont="1" applyFill="1" applyBorder="1"/>
    <xf numFmtId="166" fontId="16" fillId="2" borderId="17" xfId="0" applyNumberFormat="1" applyFont="1" applyFill="1" applyBorder="1"/>
    <xf numFmtId="166" fontId="16" fillId="2" borderId="48" xfId="0" applyNumberFormat="1" applyFont="1" applyFill="1" applyBorder="1"/>
    <xf numFmtId="166" fontId="16" fillId="2" borderId="38" xfId="0" applyNumberFormat="1" applyFont="1" applyFill="1" applyBorder="1"/>
    <xf numFmtId="166" fontId="19" fillId="2" borderId="86" xfId="0" applyNumberFormat="1" applyFont="1" applyFill="1" applyBorder="1"/>
    <xf numFmtId="166" fontId="19" fillId="2" borderId="78" xfId="0" applyNumberFormat="1" applyFont="1" applyFill="1" applyBorder="1"/>
    <xf numFmtId="166" fontId="19" fillId="2" borderId="33" xfId="0" applyNumberFormat="1" applyFont="1" applyFill="1" applyBorder="1"/>
    <xf numFmtId="166" fontId="16" fillId="4" borderId="36" xfId="0" applyNumberFormat="1" applyFont="1" applyFill="1" applyBorder="1"/>
    <xf numFmtId="166" fontId="19" fillId="2" borderId="80" xfId="0" applyNumberFormat="1" applyFont="1" applyFill="1" applyBorder="1"/>
    <xf numFmtId="166" fontId="19" fillId="2" borderId="17" xfId="0" applyNumberFormat="1" applyFont="1" applyFill="1" applyBorder="1"/>
    <xf numFmtId="166" fontId="19" fillId="2" borderId="48" xfId="0" applyNumberFormat="1" applyFont="1" applyFill="1" applyBorder="1"/>
    <xf numFmtId="166" fontId="19" fillId="2" borderId="38" xfId="0" applyNumberFormat="1" applyFont="1" applyFill="1" applyBorder="1"/>
    <xf numFmtId="166" fontId="19" fillId="5" borderId="13" xfId="0" applyNumberFormat="1" applyFont="1" applyFill="1" applyBorder="1"/>
    <xf numFmtId="166" fontId="19" fillId="2" borderId="29" xfId="0" applyNumberFormat="1" applyFont="1" applyFill="1" applyBorder="1"/>
    <xf numFmtId="4" fontId="19" fillId="0" borderId="0" xfId="0" applyNumberFormat="1" applyFont="1"/>
    <xf numFmtId="166" fontId="19" fillId="0" borderId="16" xfId="0" applyNumberFormat="1" applyFont="1" applyBorder="1"/>
    <xf numFmtId="166" fontId="19" fillId="5" borderId="16" xfId="0" applyNumberFormat="1" applyFont="1" applyFill="1" applyBorder="1"/>
    <xf numFmtId="166" fontId="19" fillId="2" borderId="102" xfId="0" applyNumberFormat="1" applyFont="1" applyFill="1" applyBorder="1"/>
    <xf numFmtId="166" fontId="19" fillId="2" borderId="35" xfId="0" applyNumberFormat="1" applyFont="1" applyFill="1" applyBorder="1"/>
    <xf numFmtId="166" fontId="19" fillId="2" borderId="101" xfId="0" applyNumberFormat="1" applyFont="1" applyFill="1" applyBorder="1"/>
    <xf numFmtId="166" fontId="19" fillId="2" borderId="36" xfId="0" applyNumberFormat="1" applyFont="1" applyFill="1" applyBorder="1"/>
    <xf numFmtId="166" fontId="16" fillId="3" borderId="100" xfId="0" applyNumberFormat="1" applyFont="1" applyFill="1" applyBorder="1"/>
    <xf numFmtId="166" fontId="16" fillId="3" borderId="40" xfId="0" applyNumberFormat="1" applyFont="1" applyFill="1" applyBorder="1"/>
    <xf numFmtId="166" fontId="16" fillId="3" borderId="99" xfId="0" applyNumberFormat="1" applyFont="1" applyFill="1" applyBorder="1"/>
    <xf numFmtId="166" fontId="16" fillId="3" borderId="41" xfId="0" applyNumberFormat="1" applyFont="1" applyFill="1" applyBorder="1"/>
    <xf numFmtId="166" fontId="19" fillId="0" borderId="0" xfId="0" applyNumberFormat="1" applyFont="1"/>
    <xf numFmtId="166" fontId="16" fillId="5" borderId="2" xfId="0" applyNumberFormat="1" applyFont="1" applyFill="1" applyBorder="1" applyAlignment="1">
      <alignment vertical="center"/>
    </xf>
    <xf numFmtId="166" fontId="16" fillId="2" borderId="2" xfId="0" applyNumberFormat="1" applyFont="1" applyFill="1" applyBorder="1" applyAlignment="1">
      <alignment vertical="center"/>
    </xf>
    <xf numFmtId="166" fontId="16" fillId="5" borderId="2" xfId="0" applyNumberFormat="1" applyFont="1" applyFill="1" applyBorder="1" applyAlignment="1">
      <alignment horizontal="center" vertical="center"/>
    </xf>
    <xf numFmtId="166" fontId="16" fillId="5" borderId="0" xfId="0" applyNumberFormat="1" applyFont="1" applyFill="1" applyAlignment="1">
      <alignment vertical="center"/>
    </xf>
    <xf numFmtId="166" fontId="16" fillId="5" borderId="0" xfId="0" applyNumberFormat="1" applyFont="1" applyFill="1" applyAlignment="1">
      <alignment horizontal="center" vertical="center"/>
    </xf>
    <xf numFmtId="166" fontId="17" fillId="5" borderId="0" xfId="0" applyNumberFormat="1" applyFont="1" applyFill="1" applyAlignment="1">
      <alignment vertical="center"/>
    </xf>
    <xf numFmtId="166" fontId="17" fillId="2" borderId="0" xfId="0" applyNumberFormat="1" applyFont="1" applyFill="1" applyAlignment="1">
      <alignment vertical="center"/>
    </xf>
    <xf numFmtId="166" fontId="17" fillId="5" borderId="0" xfId="0" applyNumberFormat="1" applyFont="1" applyFill="1" applyAlignment="1">
      <alignment horizontal="center" vertical="center"/>
    </xf>
    <xf numFmtId="166" fontId="23" fillId="2" borderId="0" xfId="0" applyNumberFormat="1" applyFont="1" applyFill="1" applyAlignment="1">
      <alignment horizontal="left" vertical="center"/>
    </xf>
    <xf numFmtId="166" fontId="23" fillId="5" borderId="0" xfId="0" applyNumberFormat="1" applyFont="1" applyFill="1" applyAlignment="1">
      <alignment horizontal="left" vertical="center"/>
    </xf>
    <xf numFmtId="166" fontId="23" fillId="5" borderId="0" xfId="0" applyNumberFormat="1" applyFont="1" applyFill="1" applyAlignment="1">
      <alignment vertical="center"/>
    </xf>
    <xf numFmtId="166" fontId="21" fillId="2" borderId="0" xfId="0" applyNumberFormat="1" applyFont="1" applyFill="1" applyAlignment="1">
      <alignment horizontal="left" vertical="center"/>
    </xf>
    <xf numFmtId="166" fontId="21" fillId="5" borderId="0" xfId="0" applyNumberFormat="1" applyFont="1" applyFill="1" applyAlignment="1">
      <alignment horizontal="left" vertical="center"/>
    </xf>
    <xf numFmtId="166" fontId="21" fillId="5" borderId="0" xfId="0" applyNumberFormat="1" applyFont="1" applyFill="1" applyAlignment="1">
      <alignment vertical="center"/>
    </xf>
    <xf numFmtId="166" fontId="19" fillId="5" borderId="2" xfId="0" applyNumberFormat="1" applyFont="1" applyFill="1" applyBorder="1" applyAlignment="1">
      <alignment vertical="center"/>
    </xf>
    <xf numFmtId="166" fontId="19" fillId="2" borderId="2" xfId="0" applyNumberFormat="1" applyFont="1" applyFill="1" applyBorder="1" applyAlignment="1">
      <alignment vertical="center"/>
    </xf>
    <xf numFmtId="166" fontId="19" fillId="5" borderId="0" xfId="0" applyNumberFormat="1" applyFont="1" applyFill="1" applyAlignment="1">
      <alignment vertical="center"/>
    </xf>
    <xf numFmtId="166" fontId="19" fillId="2" borderId="0" xfId="0" applyNumberFormat="1" applyFont="1" applyFill="1" applyAlignment="1">
      <alignment vertical="center"/>
    </xf>
    <xf numFmtId="166" fontId="21" fillId="2" borderId="0" xfId="0" applyNumberFormat="1" applyFont="1" applyFill="1" applyAlignment="1">
      <alignment vertical="center"/>
    </xf>
    <xf numFmtId="166" fontId="25" fillId="2" borderId="0" xfId="0" applyNumberFormat="1" applyFont="1" applyFill="1" applyAlignment="1">
      <alignment vertical="center"/>
    </xf>
    <xf numFmtId="166" fontId="17" fillId="4" borderId="47" xfId="0" applyNumberFormat="1" applyFont="1" applyFill="1" applyBorder="1" applyAlignment="1">
      <alignment horizontal="center" vertical="center"/>
    </xf>
    <xf numFmtId="166" fontId="17" fillId="4" borderId="51" xfId="0" applyNumberFormat="1" applyFont="1" applyFill="1" applyBorder="1" applyAlignment="1">
      <alignment horizontal="center" vertical="center"/>
    </xf>
    <xf numFmtId="166" fontId="17" fillId="4" borderId="52" xfId="0" applyNumberFormat="1" applyFont="1" applyFill="1" applyBorder="1" applyAlignment="1">
      <alignment horizontal="center" vertical="center"/>
    </xf>
    <xf numFmtId="166" fontId="17" fillId="4" borderId="51" xfId="0" applyNumberFormat="1" applyFont="1" applyFill="1" applyBorder="1" applyAlignment="1">
      <alignment horizontal="center" vertical="center" wrapText="1"/>
    </xf>
    <xf numFmtId="166" fontId="17" fillId="4" borderId="55" xfId="0" applyNumberFormat="1" applyFont="1" applyFill="1" applyBorder="1" applyAlignment="1">
      <alignment horizontal="center" vertical="center"/>
    </xf>
    <xf numFmtId="166" fontId="17" fillId="4" borderId="0" xfId="0" applyNumberFormat="1" applyFont="1" applyFill="1" applyAlignment="1">
      <alignment horizontal="center" vertical="center"/>
    </xf>
    <xf numFmtId="166" fontId="17" fillId="4" borderId="56" xfId="0" applyNumberFormat="1" applyFont="1" applyFill="1" applyBorder="1" applyAlignment="1">
      <alignment horizontal="center" vertical="center"/>
    </xf>
    <xf numFmtId="166" fontId="17" fillId="4" borderId="58" xfId="0" applyNumberFormat="1" applyFont="1" applyFill="1" applyBorder="1" applyAlignment="1">
      <alignment horizontal="center" vertical="center"/>
    </xf>
    <xf numFmtId="166" fontId="17" fillId="4" borderId="59" xfId="0" applyNumberFormat="1" applyFont="1" applyFill="1" applyBorder="1" applyAlignment="1">
      <alignment horizontal="center" vertical="center"/>
    </xf>
    <xf numFmtId="166" fontId="17" fillId="4" borderId="60" xfId="0" applyNumberFormat="1" applyFont="1" applyFill="1" applyBorder="1" applyAlignment="1">
      <alignment horizontal="center" vertical="center"/>
    </xf>
    <xf numFmtId="166" fontId="17" fillId="0" borderId="55" xfId="0" applyNumberFormat="1" applyFont="1" applyBorder="1" applyAlignment="1">
      <alignment horizontal="center" vertical="center"/>
    </xf>
    <xf numFmtId="166" fontId="17" fillId="0" borderId="47" xfId="0" applyNumberFormat="1" applyFont="1" applyBorder="1" applyAlignment="1">
      <alignment horizontal="center" vertical="center"/>
    </xf>
    <xf numFmtId="166" fontId="17" fillId="0" borderId="50" xfId="0" applyNumberFormat="1" applyFont="1" applyBorder="1" applyAlignment="1">
      <alignment horizontal="center" vertical="center"/>
    </xf>
    <xf numFmtId="166" fontId="16" fillId="2" borderId="55" xfId="0" applyNumberFormat="1" applyFont="1" applyFill="1" applyBorder="1" applyAlignment="1">
      <alignment vertical="center"/>
    </xf>
    <xf numFmtId="166" fontId="16" fillId="2" borderId="61" xfId="0" applyNumberFormat="1" applyFont="1" applyFill="1" applyBorder="1" applyAlignment="1">
      <alignment vertical="center"/>
    </xf>
    <xf numFmtId="166" fontId="19" fillId="2" borderId="58" xfId="0" applyNumberFormat="1" applyFont="1" applyFill="1" applyBorder="1" applyAlignment="1">
      <alignment vertical="center"/>
    </xf>
    <xf numFmtId="166" fontId="19" fillId="2" borderId="59" xfId="0" applyNumberFormat="1" applyFont="1" applyFill="1" applyBorder="1" applyAlignment="1">
      <alignment vertical="center"/>
    </xf>
    <xf numFmtId="166" fontId="19" fillId="2" borderId="55" xfId="0" applyNumberFormat="1" applyFont="1" applyFill="1" applyBorder="1" applyAlignment="1">
      <alignment vertical="center"/>
    </xf>
    <xf numFmtId="166" fontId="19" fillId="2" borderId="61" xfId="0" applyNumberFormat="1" applyFont="1" applyFill="1" applyBorder="1" applyAlignment="1">
      <alignment vertical="center"/>
    </xf>
    <xf numFmtId="166" fontId="19" fillId="2" borderId="62" xfId="0" applyNumberFormat="1" applyFont="1" applyFill="1" applyBorder="1" applyAlignment="1">
      <alignment vertical="center"/>
    </xf>
    <xf numFmtId="166" fontId="17" fillId="4" borderId="66" xfId="0" applyNumberFormat="1" applyFont="1" applyFill="1" applyBorder="1" applyAlignment="1">
      <alignment vertical="center"/>
    </xf>
    <xf numFmtId="166" fontId="17" fillId="4" borderId="67" xfId="0" applyNumberFormat="1" applyFont="1" applyFill="1" applyBorder="1" applyAlignment="1">
      <alignment vertical="center"/>
    </xf>
    <xf numFmtId="166" fontId="16" fillId="4" borderId="66" xfId="0" applyNumberFormat="1" applyFont="1" applyFill="1" applyBorder="1" applyAlignment="1">
      <alignment vertical="center"/>
    </xf>
    <xf numFmtId="166" fontId="16" fillId="4" borderId="67" xfId="0" applyNumberFormat="1" applyFont="1" applyFill="1" applyBorder="1" applyAlignment="1">
      <alignment vertical="center"/>
    </xf>
    <xf numFmtId="166" fontId="19" fillId="2" borderId="51" xfId="0" applyNumberFormat="1" applyFont="1" applyFill="1" applyBorder="1" applyAlignment="1">
      <alignment vertical="center"/>
    </xf>
    <xf numFmtId="166" fontId="19" fillId="2" borderId="52" xfId="0" applyNumberFormat="1" applyFont="1" applyFill="1" applyBorder="1" applyAlignment="1">
      <alignment vertical="center"/>
    </xf>
    <xf numFmtId="166" fontId="19" fillId="5" borderId="51" xfId="0" applyNumberFormat="1" applyFont="1" applyFill="1" applyBorder="1" applyAlignment="1">
      <alignment vertical="center"/>
    </xf>
    <xf numFmtId="166" fontId="19" fillId="5" borderId="52" xfId="0" applyNumberFormat="1" applyFont="1" applyFill="1" applyBorder="1" applyAlignment="1">
      <alignment vertical="center"/>
    </xf>
    <xf numFmtId="166" fontId="19" fillId="5" borderId="58" xfId="0" applyNumberFormat="1" applyFont="1" applyFill="1" applyBorder="1" applyAlignment="1">
      <alignment vertical="center"/>
    </xf>
    <xf numFmtId="166" fontId="19" fillId="5" borderId="59" xfId="0" applyNumberFormat="1" applyFont="1" applyFill="1" applyBorder="1" applyAlignment="1">
      <alignment vertical="center"/>
    </xf>
    <xf numFmtId="166" fontId="16" fillId="2" borderId="66" xfId="0" applyNumberFormat="1" applyFont="1" applyFill="1" applyBorder="1" applyAlignment="1">
      <alignment vertical="center"/>
    </xf>
    <xf numFmtId="166" fontId="16" fillId="2" borderId="67" xfId="0" applyNumberFormat="1" applyFont="1" applyFill="1" applyBorder="1" applyAlignment="1">
      <alignment vertical="center"/>
    </xf>
    <xf numFmtId="166" fontId="16" fillId="5" borderId="66" xfId="0" applyNumberFormat="1" applyFont="1" applyFill="1" applyBorder="1" applyAlignment="1">
      <alignment vertical="center"/>
    </xf>
    <xf numFmtId="166" fontId="16" fillId="5" borderId="67" xfId="0" applyNumberFormat="1" applyFont="1" applyFill="1" applyBorder="1" applyAlignment="1">
      <alignment vertical="center"/>
    </xf>
    <xf numFmtId="166" fontId="17" fillId="4" borderId="71" xfId="0" applyNumberFormat="1" applyFont="1" applyFill="1" applyBorder="1" applyAlignment="1">
      <alignment vertical="center"/>
    </xf>
    <xf numFmtId="166" fontId="17" fillId="4" borderId="72" xfId="0" applyNumberFormat="1" applyFont="1" applyFill="1" applyBorder="1" applyAlignment="1">
      <alignment vertical="center"/>
    </xf>
    <xf numFmtId="166" fontId="16" fillId="4" borderId="71" xfId="0" applyNumberFormat="1" applyFont="1" applyFill="1" applyBorder="1" applyAlignment="1">
      <alignment vertical="center"/>
    </xf>
    <xf numFmtId="166" fontId="16" fillId="4" borderId="72" xfId="0" applyNumberFormat="1" applyFont="1" applyFill="1" applyBorder="1" applyAlignment="1">
      <alignment vertical="center"/>
    </xf>
    <xf numFmtId="166" fontId="16" fillId="2" borderId="51" xfId="0" applyNumberFormat="1" applyFont="1" applyFill="1" applyBorder="1" applyAlignment="1">
      <alignment vertical="center"/>
    </xf>
    <xf numFmtId="166" fontId="16" fillId="2" borderId="52" xfId="0" applyNumberFormat="1" applyFont="1" applyFill="1" applyBorder="1" applyAlignment="1">
      <alignment vertical="center"/>
    </xf>
    <xf numFmtId="166" fontId="16" fillId="5" borderId="51" xfId="0" applyNumberFormat="1" applyFont="1" applyFill="1" applyBorder="1" applyAlignment="1">
      <alignment vertical="center"/>
    </xf>
    <xf numFmtId="166" fontId="16" fillId="5" borderId="52" xfId="0" applyNumberFormat="1" applyFont="1" applyFill="1" applyBorder="1" applyAlignment="1">
      <alignment vertical="center"/>
    </xf>
    <xf numFmtId="166" fontId="19" fillId="2" borderId="66" xfId="0" applyNumberFormat="1" applyFont="1" applyFill="1" applyBorder="1" applyAlignment="1">
      <alignment vertical="center"/>
    </xf>
    <xf numFmtId="166" fontId="19" fillId="2" borderId="67" xfId="0" applyNumberFormat="1" applyFont="1" applyFill="1" applyBorder="1" applyAlignment="1">
      <alignment vertical="center"/>
    </xf>
    <xf numFmtId="166" fontId="19" fillId="5" borderId="66" xfId="0" applyNumberFormat="1" applyFont="1" applyFill="1" applyBorder="1" applyAlignment="1">
      <alignment vertical="center"/>
    </xf>
    <xf numFmtId="166" fontId="19" fillId="5" borderId="67" xfId="0" applyNumberFormat="1" applyFont="1" applyFill="1" applyBorder="1" applyAlignment="1">
      <alignment vertical="center"/>
    </xf>
    <xf numFmtId="166" fontId="16" fillId="2" borderId="58" xfId="0" applyNumberFormat="1" applyFont="1" applyFill="1" applyBorder="1" applyAlignment="1">
      <alignment vertical="center"/>
    </xf>
    <xf numFmtId="166" fontId="16" fillId="2" borderId="59" xfId="0" applyNumberFormat="1" applyFont="1" applyFill="1" applyBorder="1" applyAlignment="1">
      <alignment vertical="center"/>
    </xf>
    <xf numFmtId="166" fontId="16" fillId="5" borderId="58" xfId="0" applyNumberFormat="1" applyFont="1" applyFill="1" applyBorder="1" applyAlignment="1">
      <alignment vertical="center"/>
    </xf>
    <xf numFmtId="166" fontId="16" fillId="5" borderId="59" xfId="0" applyNumberFormat="1" applyFont="1" applyFill="1" applyBorder="1" applyAlignment="1">
      <alignment vertical="center"/>
    </xf>
    <xf numFmtId="166" fontId="19" fillId="0" borderId="58" xfId="0" applyNumberFormat="1" applyFont="1" applyBorder="1" applyAlignment="1">
      <alignment vertical="center"/>
    </xf>
    <xf numFmtId="166" fontId="16" fillId="2" borderId="71" xfId="0" applyNumberFormat="1" applyFont="1" applyFill="1" applyBorder="1" applyAlignment="1">
      <alignment vertical="center"/>
    </xf>
    <xf numFmtId="166" fontId="16" fillId="2" borderId="72" xfId="0" applyNumberFormat="1" applyFont="1" applyFill="1" applyBorder="1" applyAlignment="1">
      <alignment vertical="center"/>
    </xf>
    <xf numFmtId="166" fontId="16" fillId="5" borderId="71" xfId="0" applyNumberFormat="1" applyFont="1" applyFill="1" applyBorder="1" applyAlignment="1">
      <alignment vertical="center"/>
    </xf>
    <xf numFmtId="166" fontId="16" fillId="5" borderId="72" xfId="0" applyNumberFormat="1" applyFont="1" applyFill="1" applyBorder="1" applyAlignment="1">
      <alignment vertical="center"/>
    </xf>
    <xf numFmtId="166" fontId="19" fillId="2" borderId="71" xfId="0" applyNumberFormat="1" applyFont="1" applyFill="1" applyBorder="1" applyAlignment="1">
      <alignment vertical="center"/>
    </xf>
    <xf numFmtId="166" fontId="19" fillId="2" borderId="72" xfId="0" applyNumberFormat="1" applyFont="1" applyFill="1" applyBorder="1" applyAlignment="1">
      <alignment vertical="center"/>
    </xf>
    <xf numFmtId="166" fontId="17" fillId="4" borderId="74" xfId="0" applyNumberFormat="1" applyFont="1" applyFill="1" applyBorder="1" applyAlignment="1">
      <alignment vertical="center"/>
    </xf>
    <xf numFmtId="166" fontId="17" fillId="4" borderId="75" xfId="0" applyNumberFormat="1" applyFont="1" applyFill="1" applyBorder="1" applyAlignment="1">
      <alignment vertical="center"/>
    </xf>
    <xf numFmtId="166" fontId="16" fillId="4" borderId="74" xfId="0" applyNumberFormat="1" applyFont="1" applyFill="1" applyBorder="1" applyAlignment="1">
      <alignment vertical="center"/>
    </xf>
    <xf numFmtId="14" fontId="7" fillId="4" borderId="19" xfId="0" applyNumberFormat="1" applyFont="1" applyFill="1" applyBorder="1" applyAlignment="1">
      <alignment horizontal="center"/>
    </xf>
    <xf numFmtId="164" fontId="16" fillId="5" borderId="2" xfId="0" applyNumberFormat="1" applyFont="1" applyFill="1" applyBorder="1" applyAlignment="1">
      <alignment vertical="center"/>
    </xf>
    <xf numFmtId="164" fontId="16" fillId="5" borderId="2" xfId="0" applyNumberFormat="1" applyFont="1" applyFill="1" applyBorder="1" applyAlignment="1">
      <alignment horizontal="center" vertical="center"/>
    </xf>
    <xf numFmtId="164" fontId="16" fillId="5" borderId="0" xfId="0" applyNumberFormat="1" applyFont="1" applyFill="1" applyAlignment="1">
      <alignment horizontal="center" vertical="center"/>
    </xf>
    <xf numFmtId="164" fontId="17" fillId="5" borderId="0" xfId="0" applyNumberFormat="1" applyFont="1" applyFill="1" applyAlignment="1">
      <alignment vertical="center"/>
    </xf>
    <xf numFmtId="49" fontId="17" fillId="5" borderId="0" xfId="0" applyNumberFormat="1" applyFont="1" applyFill="1" applyAlignment="1">
      <alignment horizontal="center" vertical="center"/>
    </xf>
    <xf numFmtId="49" fontId="16" fillId="5" borderId="0" xfId="0" applyNumberFormat="1" applyFont="1" applyFill="1" applyAlignment="1">
      <alignment vertical="center"/>
    </xf>
    <xf numFmtId="164" fontId="23" fillId="5" borderId="0" xfId="0" applyNumberFormat="1" applyFont="1" applyFill="1" applyAlignment="1">
      <alignment vertical="center"/>
    </xf>
    <xf numFmtId="164" fontId="21" fillId="5" borderId="0" xfId="0" applyNumberFormat="1" applyFont="1" applyFill="1" applyAlignment="1">
      <alignment vertical="center"/>
    </xf>
    <xf numFmtId="49" fontId="17" fillId="5" borderId="0" xfId="0" applyNumberFormat="1" applyFont="1" applyFill="1" applyAlignment="1">
      <alignment vertical="center"/>
    </xf>
    <xf numFmtId="164" fontId="18" fillId="2" borderId="4" xfId="0" applyNumberFormat="1" applyFont="1" applyFill="1" applyBorder="1" applyAlignment="1">
      <alignment horizontal="center" vertical="center"/>
    </xf>
    <xf numFmtId="164" fontId="17" fillId="4" borderId="12" xfId="0" applyNumberFormat="1" applyFont="1" applyFill="1" applyBorder="1" applyAlignment="1">
      <alignment vertical="center"/>
    </xf>
    <xf numFmtId="49" fontId="17" fillId="4" borderId="13" xfId="0" applyNumberFormat="1" applyFont="1" applyFill="1" applyBorder="1" applyAlignment="1">
      <alignment vertical="center"/>
    </xf>
    <xf numFmtId="164" fontId="21" fillId="4" borderId="14" xfId="0" applyNumberFormat="1" applyFont="1" applyFill="1" applyBorder="1" applyAlignment="1">
      <alignment vertical="center"/>
    </xf>
    <xf numFmtId="49" fontId="17" fillId="4" borderId="85" xfId="0" applyNumberFormat="1" applyFont="1" applyFill="1" applyBorder="1" applyAlignment="1">
      <alignment horizontal="center" vertical="center"/>
    </xf>
    <xf numFmtId="49" fontId="17" fillId="4" borderId="78" xfId="0" applyNumberFormat="1" applyFont="1" applyFill="1" applyBorder="1" applyAlignment="1">
      <alignment horizontal="center" vertical="center"/>
    </xf>
    <xf numFmtId="164" fontId="21" fillId="0" borderId="13" xfId="0" applyNumberFormat="1" applyFont="1" applyBorder="1" applyAlignment="1">
      <alignment vertical="center"/>
    </xf>
    <xf numFmtId="49" fontId="17" fillId="0" borderId="26" xfId="0" applyNumberFormat="1" applyFont="1" applyBorder="1" applyAlignment="1">
      <alignment horizontal="center" vertical="center"/>
    </xf>
    <xf numFmtId="15" fontId="27" fillId="0" borderId="10" xfId="0" applyNumberFormat="1" applyFont="1" applyBorder="1" applyAlignment="1">
      <alignment horizontal="center" vertical="center"/>
    </xf>
    <xf numFmtId="15" fontId="17" fillId="0" borderId="54" xfId="0" applyNumberFormat="1" applyFont="1" applyBorder="1" applyAlignment="1">
      <alignment horizontal="left" vertical="center" wrapText="1"/>
    </xf>
    <xf numFmtId="49" fontId="17" fillId="2" borderId="15" xfId="0" applyNumberFormat="1" applyFont="1" applyFill="1" applyBorder="1" applyAlignment="1">
      <alignment vertical="center"/>
    </xf>
    <xf numFmtId="165" fontId="16" fillId="2" borderId="90" xfId="0" applyNumberFormat="1" applyFont="1" applyFill="1" applyBorder="1" applyAlignment="1">
      <alignment vertical="center"/>
    </xf>
    <xf numFmtId="165" fontId="16" fillId="2" borderId="69" xfId="0" applyNumberFormat="1" applyFont="1" applyFill="1" applyBorder="1" applyAlignment="1">
      <alignment vertical="center"/>
    </xf>
    <xf numFmtId="165" fontId="16" fillId="3" borderId="10" xfId="0" applyNumberFormat="1" applyFont="1" applyFill="1" applyBorder="1" applyAlignment="1">
      <alignment vertical="center"/>
    </xf>
    <xf numFmtId="164" fontId="19" fillId="2" borderId="8" xfId="0" applyNumberFormat="1" applyFont="1" applyFill="1" applyBorder="1" applyAlignment="1">
      <alignment vertical="center" wrapText="1"/>
    </xf>
    <xf numFmtId="49" fontId="23" fillId="2" borderId="13" xfId="0" applyNumberFormat="1" applyFont="1" applyFill="1" applyBorder="1" applyAlignment="1">
      <alignment vertical="center"/>
    </xf>
    <xf numFmtId="165" fontId="19" fillId="3" borderId="10" xfId="0" applyNumberFormat="1" applyFont="1" applyFill="1" applyBorder="1" applyAlignment="1">
      <alignment vertical="center"/>
    </xf>
    <xf numFmtId="164" fontId="19" fillId="2" borderId="54" xfId="0" applyNumberFormat="1" applyFont="1" applyFill="1" applyBorder="1" applyAlignment="1">
      <alignment vertical="center" wrapText="1"/>
    </xf>
    <xf numFmtId="49" fontId="19" fillId="2" borderId="13" xfId="0" applyNumberFormat="1" applyFont="1" applyFill="1" applyBorder="1" applyAlignment="1">
      <alignment vertical="center"/>
    </xf>
    <xf numFmtId="9" fontId="19" fillId="3" borderId="10" xfId="0" applyNumberFormat="1" applyFont="1" applyFill="1" applyBorder="1" applyAlignment="1">
      <alignment vertical="center"/>
    </xf>
    <xf numFmtId="49" fontId="19" fillId="2" borderId="54" xfId="0" applyNumberFormat="1" applyFont="1" applyFill="1" applyBorder="1" applyAlignment="1">
      <alignment vertical="center" wrapText="1"/>
    </xf>
    <xf numFmtId="49" fontId="17" fillId="4" borderId="35" xfId="0" applyNumberFormat="1" applyFont="1" applyFill="1" applyBorder="1" applyAlignment="1">
      <alignment vertical="center"/>
    </xf>
    <xf numFmtId="9" fontId="17" fillId="4" borderId="73" xfId="0" applyNumberFormat="1" applyFont="1" applyFill="1" applyBorder="1" applyAlignment="1">
      <alignment horizontal="right" vertical="center"/>
    </xf>
    <xf numFmtId="9" fontId="16" fillId="4" borderId="73" xfId="0" applyNumberFormat="1" applyFont="1" applyFill="1" applyBorder="1" applyAlignment="1">
      <alignment horizontal="right" vertical="center"/>
    </xf>
    <xf numFmtId="9" fontId="16" fillId="3" borderId="10" xfId="0" applyNumberFormat="1" applyFont="1" applyFill="1" applyBorder="1" applyAlignment="1">
      <alignment vertical="center"/>
    </xf>
    <xf numFmtId="165" fontId="19" fillId="2" borderId="54" xfId="0" applyNumberFormat="1" applyFont="1" applyFill="1" applyBorder="1" applyAlignment="1">
      <alignment vertical="center" wrapText="1"/>
    </xf>
    <xf numFmtId="164" fontId="16" fillId="2" borderId="17" xfId="0" applyNumberFormat="1" applyFont="1" applyFill="1" applyBorder="1" applyAlignment="1">
      <alignment vertical="center"/>
    </xf>
    <xf numFmtId="165" fontId="19" fillId="2" borderId="69" xfId="0" applyNumberFormat="1" applyFont="1" applyFill="1" applyBorder="1" applyAlignment="1">
      <alignment vertical="center"/>
    </xf>
    <xf numFmtId="49" fontId="23" fillId="5" borderId="69" xfId="0" applyNumberFormat="1" applyFont="1" applyFill="1" applyBorder="1" applyAlignment="1">
      <alignment horizontal="right" vertical="center"/>
    </xf>
    <xf numFmtId="49" fontId="17" fillId="2" borderId="13" xfId="0" applyNumberFormat="1" applyFont="1" applyFill="1" applyBorder="1" applyAlignment="1">
      <alignment vertical="center"/>
    </xf>
    <xf numFmtId="165" fontId="19" fillId="2" borderId="70" xfId="0" applyNumberFormat="1" applyFont="1" applyFill="1" applyBorder="1" applyAlignment="1">
      <alignment vertical="center"/>
    </xf>
    <xf numFmtId="164" fontId="27" fillId="2" borderId="16" xfId="0" applyNumberFormat="1" applyFont="1" applyFill="1" applyBorder="1" applyAlignment="1">
      <alignment vertical="center"/>
    </xf>
    <xf numFmtId="165" fontId="16" fillId="2" borderId="68" xfId="0" applyNumberFormat="1" applyFont="1" applyFill="1" applyBorder="1" applyAlignment="1">
      <alignment vertical="center"/>
    </xf>
    <xf numFmtId="49" fontId="23" fillId="5" borderId="68" xfId="0" applyNumberFormat="1" applyFont="1" applyFill="1" applyBorder="1" applyAlignment="1">
      <alignment horizontal="right" vertical="center"/>
    </xf>
    <xf numFmtId="164" fontId="19" fillId="2" borderId="17" xfId="0" applyNumberFormat="1" applyFont="1" applyFill="1" applyBorder="1" applyAlignment="1">
      <alignment vertical="center"/>
    </xf>
    <xf numFmtId="165" fontId="16" fillId="5" borderId="69" xfId="0" applyNumberFormat="1" applyFont="1" applyFill="1" applyBorder="1" applyAlignment="1">
      <alignment vertical="center"/>
    </xf>
    <xf numFmtId="165" fontId="19" fillId="5" borderId="70" xfId="0" applyNumberFormat="1" applyFont="1" applyFill="1" applyBorder="1" applyAlignment="1">
      <alignment vertical="center"/>
    </xf>
    <xf numFmtId="9" fontId="23" fillId="3" borderId="10" xfId="0" applyNumberFormat="1" applyFont="1" applyFill="1" applyBorder="1" applyAlignment="1">
      <alignment horizontal="right" vertical="center"/>
    </xf>
    <xf numFmtId="49" fontId="19" fillId="2" borderId="16" xfId="0" applyNumberFormat="1" applyFont="1" applyFill="1" applyBorder="1" applyAlignment="1">
      <alignment vertical="center"/>
    </xf>
    <xf numFmtId="9" fontId="23" fillId="4" borderId="73" xfId="0" applyNumberFormat="1" applyFont="1" applyFill="1" applyBorder="1" applyAlignment="1">
      <alignment horizontal="right" vertical="center"/>
    </xf>
    <xf numFmtId="165" fontId="19" fillId="5" borderId="69" xfId="0" applyNumberFormat="1" applyFont="1" applyFill="1" applyBorder="1" applyAlignment="1">
      <alignment vertical="center"/>
    </xf>
    <xf numFmtId="165" fontId="16" fillId="2" borderId="70" xfId="0" applyNumberFormat="1" applyFont="1" applyFill="1" applyBorder="1" applyAlignment="1">
      <alignment vertical="center"/>
    </xf>
    <xf numFmtId="165" fontId="16" fillId="5" borderId="70" xfId="0" applyNumberFormat="1" applyFont="1" applyFill="1" applyBorder="1" applyAlignment="1">
      <alignment vertical="center"/>
    </xf>
    <xf numFmtId="49" fontId="28" fillId="2" borderId="13" xfId="0" applyNumberFormat="1" applyFont="1" applyFill="1" applyBorder="1" applyAlignment="1">
      <alignment vertical="center"/>
    </xf>
    <xf numFmtId="164" fontId="19" fillId="2" borderId="13" xfId="0" applyNumberFormat="1" applyFont="1" applyFill="1" applyBorder="1" applyAlignment="1">
      <alignment vertical="center"/>
    </xf>
    <xf numFmtId="164" fontId="19" fillId="3" borderId="10" xfId="0" applyNumberFormat="1" applyFont="1" applyFill="1" applyBorder="1" applyAlignment="1">
      <alignment vertical="center"/>
    </xf>
    <xf numFmtId="164" fontId="21" fillId="4" borderId="30" xfId="0" applyNumberFormat="1" applyFont="1" applyFill="1" applyBorder="1" applyAlignment="1">
      <alignment vertical="center"/>
    </xf>
    <xf numFmtId="49" fontId="17" fillId="2" borderId="31" xfId="0" applyNumberFormat="1" applyFont="1" applyFill="1" applyBorder="1" applyAlignment="1">
      <alignment vertical="center"/>
    </xf>
    <xf numFmtId="49" fontId="23" fillId="2" borderId="68" xfId="0" applyNumberFormat="1" applyFont="1" applyFill="1" applyBorder="1" applyAlignment="1">
      <alignment horizontal="right" vertical="center"/>
    </xf>
    <xf numFmtId="166" fontId="23" fillId="2" borderId="0" xfId="1" applyNumberFormat="1" applyFont="1" applyFill="1" applyBorder="1" applyAlignment="1"/>
    <xf numFmtId="166" fontId="16" fillId="4" borderId="35" xfId="1" applyNumberFormat="1" applyFont="1" applyFill="1" applyBorder="1" applyAlignment="1"/>
    <xf numFmtId="166" fontId="23" fillId="2" borderId="38" xfId="1" applyNumberFormat="1" applyFont="1" applyFill="1" applyBorder="1" applyAlignment="1"/>
    <xf numFmtId="166" fontId="19" fillId="2" borderId="0" xfId="1" applyNumberFormat="1" applyFont="1" applyFill="1" applyBorder="1" applyAlignment="1"/>
    <xf numFmtId="166" fontId="19" fillId="2" borderId="33" xfId="1" applyNumberFormat="1" applyFont="1" applyFill="1" applyBorder="1" applyAlignment="1"/>
    <xf numFmtId="166" fontId="16" fillId="2" borderId="38" xfId="1" applyNumberFormat="1" applyFont="1" applyFill="1" applyBorder="1" applyAlignment="1"/>
    <xf numFmtId="166" fontId="19" fillId="2" borderId="38" xfId="1" applyNumberFormat="1" applyFont="1" applyFill="1" applyBorder="1" applyAlignment="1"/>
    <xf numFmtId="166" fontId="16" fillId="3" borderId="40" xfId="1" applyNumberFormat="1" applyFont="1" applyFill="1" applyBorder="1" applyAlignment="1"/>
    <xf numFmtId="166" fontId="16" fillId="4" borderId="73" xfId="0" applyNumberFormat="1" applyFont="1" applyFill="1" applyBorder="1" applyAlignment="1">
      <alignment horizontal="right" vertical="center"/>
    </xf>
    <xf numFmtId="166" fontId="19" fillId="2" borderId="69" xfId="0" applyNumberFormat="1" applyFont="1" applyFill="1" applyBorder="1" applyAlignment="1">
      <alignment vertical="center"/>
    </xf>
    <xf numFmtId="166" fontId="19" fillId="2" borderId="70" xfId="0" applyNumberFormat="1" applyFont="1" applyFill="1" applyBorder="1" applyAlignment="1">
      <alignment vertical="center"/>
    </xf>
    <xf numFmtId="166" fontId="16" fillId="2" borderId="68" xfId="0" applyNumberFormat="1" applyFont="1" applyFill="1" applyBorder="1" applyAlignment="1">
      <alignment vertical="center"/>
    </xf>
    <xf numFmtId="9" fontId="23" fillId="2" borderId="78" xfId="0" applyNumberFormat="1" applyFont="1" applyFill="1" applyBorder="1" applyAlignment="1">
      <alignment horizontal="right" vertical="center"/>
    </xf>
    <xf numFmtId="43" fontId="19" fillId="2" borderId="4" xfId="1" applyFont="1" applyFill="1" applyBorder="1" applyAlignment="1">
      <alignment vertical="center"/>
    </xf>
    <xf numFmtId="43" fontId="23" fillId="2" borderId="70" xfId="1" applyFont="1" applyFill="1" applyBorder="1" applyAlignment="1">
      <alignment horizontal="right" vertical="center"/>
    </xf>
    <xf numFmtId="43" fontId="19" fillId="3" borderId="0" xfId="1" applyFont="1" applyFill="1" applyBorder="1" applyAlignment="1">
      <alignment vertical="center"/>
    </xf>
    <xf numFmtId="43" fontId="23" fillId="5" borderId="70" xfId="1" applyFont="1" applyFill="1" applyBorder="1" applyAlignment="1">
      <alignment horizontal="right" vertical="center"/>
    </xf>
    <xf numFmtId="43" fontId="19" fillId="0" borderId="0" xfId="1" applyFont="1"/>
    <xf numFmtId="43" fontId="23" fillId="3" borderId="0" xfId="1" applyFont="1" applyFill="1" applyBorder="1" applyAlignment="1">
      <alignment horizontal="right" vertical="center"/>
    </xf>
    <xf numFmtId="4" fontId="16" fillId="2" borderId="0" xfId="0" applyNumberFormat="1" applyFont="1" applyFill="1" applyAlignment="1">
      <alignment vertical="center"/>
    </xf>
    <xf numFmtId="4" fontId="16" fillId="2" borderId="0" xfId="0" applyNumberFormat="1" applyFont="1" applyFill="1"/>
    <xf numFmtId="4" fontId="16" fillId="2" borderId="7" xfId="0" applyNumberFormat="1" applyFont="1" applyFill="1" applyBorder="1"/>
    <xf numFmtId="4" fontId="17" fillId="4" borderId="12" xfId="0" applyNumberFormat="1" applyFont="1" applyFill="1" applyBorder="1" applyAlignment="1">
      <alignment horizontal="center" vertical="center" wrapText="1"/>
    </xf>
    <xf numFmtId="4" fontId="17" fillId="4" borderId="18" xfId="0" applyNumberFormat="1" applyFont="1" applyFill="1" applyBorder="1" applyAlignment="1">
      <alignment horizontal="center" vertical="center" wrapText="1"/>
    </xf>
    <xf numFmtId="4" fontId="17" fillId="4" borderId="14" xfId="0" applyNumberFormat="1" applyFont="1" applyFill="1" applyBorder="1" applyAlignment="1">
      <alignment horizontal="center"/>
    </xf>
    <xf numFmtId="4" fontId="17" fillId="4" borderId="7" xfId="0" applyNumberFormat="1" applyFont="1" applyFill="1" applyBorder="1" applyAlignment="1">
      <alignment horizontal="center"/>
    </xf>
    <xf numFmtId="4" fontId="23" fillId="2" borderId="15" xfId="0" applyNumberFormat="1" applyFont="1" applyFill="1" applyBorder="1"/>
    <xf numFmtId="4" fontId="23" fillId="2" borderId="18" xfId="0" applyNumberFormat="1" applyFont="1" applyFill="1" applyBorder="1"/>
    <xf numFmtId="4" fontId="23" fillId="2" borderId="13" xfId="0" applyNumberFormat="1" applyFont="1" applyFill="1" applyBorder="1"/>
    <xf numFmtId="4" fontId="23" fillId="2" borderId="0" xfId="0" applyNumberFormat="1" applyFont="1" applyFill="1"/>
    <xf numFmtId="168" fontId="17" fillId="5" borderId="0" xfId="0" applyNumberFormat="1" applyFont="1" applyFill="1" applyAlignment="1">
      <alignment vertical="center"/>
    </xf>
    <xf numFmtId="168" fontId="17" fillId="2" borderId="0" xfId="0" applyNumberFormat="1" applyFont="1" applyFill="1" applyAlignment="1">
      <alignment vertical="center"/>
    </xf>
    <xf numFmtId="168" fontId="21" fillId="2" borderId="0" xfId="0" applyNumberFormat="1" applyFont="1" applyFill="1" applyAlignment="1">
      <alignment horizontal="left" vertical="center"/>
    </xf>
    <xf numFmtId="168" fontId="21" fillId="5" borderId="0" xfId="0" applyNumberFormat="1" applyFont="1" applyFill="1" applyAlignment="1">
      <alignment horizontal="left" vertical="center"/>
    </xf>
    <xf numFmtId="168" fontId="21" fillId="5" borderId="0" xfId="0" applyNumberFormat="1" applyFont="1" applyFill="1" applyAlignment="1">
      <alignment vertical="center"/>
    </xf>
    <xf numFmtId="168" fontId="19" fillId="2" borderId="0" xfId="0" applyNumberFormat="1" applyFont="1" applyFill="1" applyAlignment="1">
      <alignment vertical="center"/>
    </xf>
    <xf numFmtId="168" fontId="21" fillId="2" borderId="0" xfId="0" applyNumberFormat="1" applyFont="1" applyFill="1" applyAlignment="1">
      <alignment vertical="center"/>
    </xf>
    <xf numFmtId="168" fontId="17" fillId="4" borderId="47" xfId="0" applyNumberFormat="1" applyFont="1" applyFill="1" applyBorder="1" applyAlignment="1">
      <alignment horizontal="center" vertical="center"/>
    </xf>
    <xf numFmtId="168" fontId="17" fillId="4" borderId="51" xfId="0" applyNumberFormat="1" applyFont="1" applyFill="1" applyBorder="1" applyAlignment="1">
      <alignment horizontal="center" vertical="center"/>
    </xf>
    <xf numFmtId="168" fontId="17" fillId="4" borderId="52" xfId="0" applyNumberFormat="1" applyFont="1" applyFill="1" applyBorder="1" applyAlignment="1">
      <alignment horizontal="center" vertical="center"/>
    </xf>
    <xf numFmtId="168" fontId="17" fillId="4" borderId="51" xfId="0" applyNumberFormat="1" applyFont="1" applyFill="1" applyBorder="1" applyAlignment="1">
      <alignment horizontal="center" vertical="center" wrapText="1"/>
    </xf>
    <xf numFmtId="168" fontId="17" fillId="4" borderId="55" xfId="0" applyNumberFormat="1" applyFont="1" applyFill="1" applyBorder="1" applyAlignment="1">
      <alignment horizontal="center" vertical="center"/>
    </xf>
    <xf numFmtId="168" fontId="17" fillId="4" borderId="0" xfId="0" applyNumberFormat="1" applyFont="1" applyFill="1" applyAlignment="1">
      <alignment horizontal="center" vertical="center"/>
    </xf>
    <xf numFmtId="168" fontId="17" fillId="4" borderId="56" xfId="0" applyNumberFormat="1" applyFont="1" applyFill="1" applyBorder="1" applyAlignment="1">
      <alignment horizontal="center" vertical="center"/>
    </xf>
    <xf numFmtId="168" fontId="17" fillId="4" borderId="58" xfId="0" applyNumberFormat="1" applyFont="1" applyFill="1" applyBorder="1" applyAlignment="1">
      <alignment horizontal="center" vertical="center"/>
    </xf>
    <xf numFmtId="168" fontId="17" fillId="4" borderId="59" xfId="0" applyNumberFormat="1" applyFont="1" applyFill="1" applyBorder="1" applyAlignment="1">
      <alignment horizontal="center" vertical="center"/>
    </xf>
    <xf numFmtId="168" fontId="17" fillId="4" borderId="60" xfId="0" applyNumberFormat="1" applyFont="1" applyFill="1" applyBorder="1" applyAlignment="1">
      <alignment horizontal="center" vertical="center"/>
    </xf>
    <xf numFmtId="168" fontId="17" fillId="0" borderId="47" xfId="0" applyNumberFormat="1" applyFont="1" applyBorder="1" applyAlignment="1">
      <alignment horizontal="center" vertical="center"/>
    </xf>
    <xf numFmtId="168" fontId="16" fillId="2" borderId="55" xfId="0" applyNumberFormat="1" applyFont="1" applyFill="1" applyBorder="1" applyAlignment="1">
      <alignment vertical="center"/>
    </xf>
    <xf numFmtId="168" fontId="19" fillId="2" borderId="51" xfId="0" applyNumberFormat="1" applyFont="1" applyFill="1" applyBorder="1" applyAlignment="1">
      <alignment vertical="center"/>
    </xf>
    <xf numFmtId="168" fontId="19" fillId="2" borderId="52" xfId="0" applyNumberFormat="1" applyFont="1" applyFill="1" applyBorder="1" applyAlignment="1">
      <alignment vertical="center"/>
    </xf>
    <xf numFmtId="169" fontId="7" fillId="4" borderId="13" xfId="0" applyNumberFormat="1" applyFont="1" applyFill="1" applyBorder="1"/>
    <xf numFmtId="169" fontId="7" fillId="4" borderId="13" xfId="0" applyNumberFormat="1" applyFont="1" applyFill="1" applyBorder="1" applyAlignment="1">
      <alignment horizontal="center" vertical="center"/>
    </xf>
    <xf numFmtId="169" fontId="14" fillId="0" borderId="22" xfId="0" applyNumberFormat="1" applyFont="1" applyBorder="1" applyAlignment="1">
      <alignment horizontal="center"/>
    </xf>
    <xf numFmtId="169" fontId="21" fillId="2" borderId="0" xfId="0" applyNumberFormat="1" applyFont="1" applyFill="1"/>
    <xf numFmtId="169" fontId="21" fillId="6" borderId="24" xfId="0" applyNumberFormat="1" applyFont="1" applyFill="1" applyBorder="1"/>
    <xf numFmtId="169" fontId="23" fillId="6" borderId="24" xfId="0" applyNumberFormat="1" applyFont="1" applyFill="1" applyBorder="1"/>
    <xf numFmtId="49" fontId="21" fillId="2" borderId="13" xfId="0" applyNumberFormat="1" applyFont="1" applyFill="1" applyBorder="1"/>
    <xf numFmtId="49" fontId="17" fillId="6" borderId="12" xfId="0" applyNumberFormat="1" applyFont="1" applyFill="1" applyBorder="1"/>
    <xf numFmtId="10" fontId="17" fillId="4" borderId="22" xfId="2" applyNumberFormat="1" applyFont="1" applyFill="1" applyBorder="1" applyAlignment="1"/>
    <xf numFmtId="10" fontId="17" fillId="4" borderId="116" xfId="2" applyNumberFormat="1" applyFont="1" applyFill="1" applyBorder="1" applyAlignment="1"/>
    <xf numFmtId="49" fontId="17" fillId="3" borderId="20" xfId="0" applyNumberFormat="1" applyFont="1" applyFill="1" applyBorder="1"/>
    <xf numFmtId="0" fontId="19" fillId="3" borderId="20" xfId="0" applyFont="1" applyFill="1" applyBorder="1"/>
    <xf numFmtId="169" fontId="19" fillId="3" borderId="22" xfId="0" applyNumberFormat="1" applyFont="1" applyFill="1" applyBorder="1"/>
    <xf numFmtId="169" fontId="13" fillId="2" borderId="20" xfId="0" applyNumberFormat="1" applyFont="1" applyFill="1" applyBorder="1" applyAlignment="1">
      <alignment horizontal="center"/>
    </xf>
    <xf numFmtId="169" fontId="7" fillId="4" borderId="24" xfId="0" applyNumberFormat="1" applyFont="1" applyFill="1" applyBorder="1" applyAlignment="1">
      <alignment horizontal="center" vertical="center" wrapText="1"/>
    </xf>
    <xf numFmtId="169" fontId="21" fillId="2" borderId="28" xfId="0" applyNumberFormat="1" applyFont="1" applyFill="1" applyBorder="1"/>
    <xf numFmtId="166" fontId="17" fillId="4" borderId="13" xfId="0" applyNumberFormat="1" applyFont="1" applyFill="1" applyBorder="1" applyAlignment="1">
      <alignment horizontal="center"/>
    </xf>
    <xf numFmtId="166" fontId="19" fillId="5" borderId="58" xfId="1" applyNumberFormat="1" applyFont="1" applyFill="1" applyBorder="1" applyAlignment="1">
      <alignment vertical="center"/>
    </xf>
    <xf numFmtId="166" fontId="17" fillId="4" borderId="23" xfId="0" applyNumberFormat="1" applyFont="1" applyFill="1" applyBorder="1" applyAlignment="1">
      <alignment horizontal="center" vertical="center" wrapText="1"/>
    </xf>
    <xf numFmtId="166" fontId="17" fillId="4" borderId="25" xfId="0" applyNumberFormat="1" applyFont="1" applyFill="1" applyBorder="1" applyAlignment="1">
      <alignment horizontal="center" vertical="center" wrapText="1"/>
    </xf>
    <xf numFmtId="166" fontId="17" fillId="4" borderId="105" xfId="0" applyNumberFormat="1" applyFont="1" applyFill="1" applyBorder="1" applyAlignment="1">
      <alignment horizontal="center"/>
    </xf>
    <xf numFmtId="166" fontId="17" fillId="4" borderId="85" xfId="0" applyNumberFormat="1" applyFont="1" applyFill="1" applyBorder="1" applyAlignment="1">
      <alignment horizontal="center"/>
    </xf>
    <xf numFmtId="166" fontId="17" fillId="4" borderId="79" xfId="0" applyNumberFormat="1" applyFont="1" applyFill="1" applyBorder="1" applyAlignment="1">
      <alignment horizontal="center" vertical="center"/>
    </xf>
    <xf numFmtId="166" fontId="17" fillId="4" borderId="82" xfId="0" applyNumberFormat="1" applyFont="1" applyFill="1" applyBorder="1" applyAlignment="1">
      <alignment horizontal="center" vertical="center"/>
    </xf>
    <xf numFmtId="166" fontId="17" fillId="4" borderId="83" xfId="0" applyNumberFormat="1" applyFont="1" applyFill="1" applyBorder="1" applyAlignment="1">
      <alignment horizontal="center" vertical="center"/>
    </xf>
    <xf numFmtId="166" fontId="17" fillId="4" borderId="84" xfId="0" applyNumberFormat="1" applyFont="1" applyFill="1" applyBorder="1" applyAlignment="1">
      <alignment horizontal="center" vertical="center"/>
    </xf>
    <xf numFmtId="166" fontId="17" fillId="0" borderId="0" xfId="0" applyNumberFormat="1" applyFont="1" applyAlignment="1">
      <alignment horizontal="center" vertical="center"/>
    </xf>
    <xf numFmtId="166" fontId="17" fillId="0" borderId="91" xfId="0" applyNumberFormat="1" applyFont="1" applyBorder="1" applyAlignment="1">
      <alignment horizontal="center" vertical="center"/>
    </xf>
    <xf numFmtId="166" fontId="17" fillId="0" borderId="60" xfId="0" applyNumberFormat="1" applyFont="1" applyBorder="1" applyAlignment="1">
      <alignment horizontal="center" vertical="center"/>
    </xf>
    <xf numFmtId="166" fontId="16" fillId="2" borderId="89" xfId="0" applyNumberFormat="1" applyFont="1" applyFill="1" applyBorder="1" applyAlignment="1">
      <alignment vertical="center"/>
    </xf>
    <xf numFmtId="166" fontId="29" fillId="9" borderId="0" xfId="0" applyNumberFormat="1" applyFont="1" applyFill="1" applyAlignment="1">
      <alignment vertical="center"/>
    </xf>
    <xf numFmtId="166" fontId="29" fillId="9" borderId="94" xfId="0" applyNumberFormat="1" applyFont="1" applyFill="1" applyBorder="1" applyAlignment="1">
      <alignment vertical="center"/>
    </xf>
    <xf numFmtId="166" fontId="19" fillId="9" borderId="0" xfId="0" applyNumberFormat="1" applyFont="1" applyFill="1" applyAlignment="1">
      <alignment vertical="center"/>
    </xf>
    <xf numFmtId="166" fontId="19" fillId="9" borderId="94" xfId="0" applyNumberFormat="1" applyFont="1" applyFill="1" applyBorder="1" applyAlignment="1">
      <alignment vertical="center"/>
    </xf>
    <xf numFmtId="166" fontId="19" fillId="9" borderId="95" xfId="0" applyNumberFormat="1" applyFont="1" applyFill="1" applyBorder="1" applyAlignment="1">
      <alignment vertical="center"/>
    </xf>
    <xf numFmtId="166" fontId="17" fillId="4" borderId="92" xfId="0" applyNumberFormat="1" applyFont="1" applyFill="1" applyBorder="1" applyAlignment="1">
      <alignment vertical="center"/>
    </xf>
    <xf numFmtId="166" fontId="19" fillId="2" borderId="79" xfId="0" applyNumberFormat="1" applyFont="1" applyFill="1" applyBorder="1" applyAlignment="1">
      <alignment vertical="center"/>
    </xf>
    <xf numFmtId="166" fontId="19" fillId="2" borderId="91" xfId="0" applyNumberFormat="1" applyFont="1" applyFill="1" applyBorder="1" applyAlignment="1">
      <alignment vertical="center"/>
    </xf>
    <xf numFmtId="166" fontId="16" fillId="2" borderId="93" xfId="0" applyNumberFormat="1" applyFont="1" applyFill="1" applyBorder="1" applyAlignment="1">
      <alignment vertical="center"/>
    </xf>
    <xf numFmtId="166" fontId="16" fillId="2" borderId="79" xfId="0" applyNumberFormat="1" applyFont="1" applyFill="1" applyBorder="1" applyAlignment="1">
      <alignment vertical="center"/>
    </xf>
    <xf numFmtId="166" fontId="19" fillId="9" borderId="97" xfId="0" applyNumberFormat="1" applyFont="1" applyFill="1" applyBorder="1" applyAlignment="1">
      <alignment vertical="center"/>
    </xf>
    <xf numFmtId="166" fontId="19" fillId="9" borderId="98" xfId="0" applyNumberFormat="1" applyFont="1" applyFill="1" applyBorder="1" applyAlignment="1">
      <alignment vertical="center"/>
    </xf>
    <xf numFmtId="166" fontId="16" fillId="2" borderId="91" xfId="0" applyNumberFormat="1" applyFont="1" applyFill="1" applyBorder="1" applyAlignment="1">
      <alignment vertical="center"/>
    </xf>
    <xf numFmtId="166" fontId="17" fillId="4" borderId="81" xfId="0" applyNumberFormat="1" applyFont="1" applyFill="1" applyBorder="1" applyAlignment="1">
      <alignment horizontal="center" vertical="center"/>
    </xf>
    <xf numFmtId="166" fontId="17" fillId="4" borderId="87" xfId="0" applyNumberFormat="1" applyFont="1" applyFill="1" applyBorder="1" applyAlignment="1">
      <alignment horizontal="center" vertical="center"/>
    </xf>
    <xf numFmtId="166" fontId="17" fillId="4" borderId="33" xfId="0" applyNumberFormat="1" applyFont="1" applyFill="1" applyBorder="1" applyAlignment="1">
      <alignment horizontal="center" vertical="center"/>
    </xf>
    <xf numFmtId="166" fontId="16" fillId="2" borderId="81" xfId="0" applyNumberFormat="1" applyFont="1" applyFill="1" applyBorder="1" applyAlignment="1">
      <alignment vertical="center"/>
    </xf>
    <xf numFmtId="166" fontId="29" fillId="9" borderId="55" xfId="0" applyNumberFormat="1" applyFont="1" applyFill="1" applyBorder="1" applyAlignment="1">
      <alignment vertical="center"/>
    </xf>
    <xf numFmtId="166" fontId="19" fillId="9" borderId="55" xfId="0" applyNumberFormat="1" applyFont="1" applyFill="1" applyBorder="1" applyAlignment="1">
      <alignment vertical="center"/>
    </xf>
    <xf numFmtId="166" fontId="19" fillId="9" borderId="96" xfId="0" applyNumberFormat="1" applyFont="1" applyFill="1" applyBorder="1" applyAlignment="1">
      <alignment vertical="center"/>
    </xf>
    <xf numFmtId="166" fontId="19" fillId="2" borderId="93" xfId="0" applyNumberFormat="1" applyFont="1" applyFill="1" applyBorder="1" applyAlignment="1">
      <alignment vertical="center"/>
    </xf>
    <xf numFmtId="166" fontId="17" fillId="4" borderId="66" xfId="0" applyNumberFormat="1" applyFont="1" applyFill="1" applyBorder="1" applyAlignment="1">
      <alignment horizontal="center" vertical="center"/>
    </xf>
    <xf numFmtId="166" fontId="17" fillId="4" borderId="67" xfId="0" applyNumberFormat="1" applyFont="1" applyFill="1" applyBorder="1" applyAlignment="1">
      <alignment horizontal="center" vertical="center"/>
    </xf>
    <xf numFmtId="166" fontId="17" fillId="4" borderId="88" xfId="0" applyNumberFormat="1" applyFont="1" applyFill="1" applyBorder="1" applyAlignment="1">
      <alignment horizontal="center" vertical="center"/>
    </xf>
    <xf numFmtId="166" fontId="17" fillId="0" borderId="58" xfId="0" applyNumberFormat="1" applyFont="1" applyBorder="1" applyAlignment="1">
      <alignment horizontal="center" vertical="center"/>
    </xf>
    <xf numFmtId="166" fontId="17" fillId="0" borderId="59" xfId="0" applyNumberFormat="1" applyFont="1" applyBorder="1" applyAlignment="1">
      <alignment horizontal="center" vertical="center"/>
    </xf>
    <xf numFmtId="166" fontId="3" fillId="2" borderId="13" xfId="0" applyNumberFormat="1" applyFont="1" applyFill="1" applyBorder="1"/>
    <xf numFmtId="166" fontId="3" fillId="2" borderId="0" xfId="0" applyNumberFormat="1" applyFont="1" applyFill="1"/>
    <xf numFmtId="166" fontId="17" fillId="4" borderId="114" xfId="0" applyNumberFormat="1" applyFont="1" applyFill="1" applyBorder="1" applyAlignment="1">
      <alignment horizontal="center" vertical="center"/>
    </xf>
    <xf numFmtId="166" fontId="16" fillId="2" borderId="113" xfId="0" applyNumberFormat="1" applyFont="1" applyFill="1" applyBorder="1" applyAlignment="1">
      <alignment vertical="center"/>
    </xf>
    <xf numFmtId="166" fontId="23" fillId="2" borderId="13" xfId="1" applyNumberFormat="1" applyFont="1" applyFill="1" applyBorder="1" applyAlignment="1"/>
    <xf numFmtId="166" fontId="23" fillId="2" borderId="17" xfId="1" applyNumberFormat="1" applyFont="1" applyFill="1" applyBorder="1" applyAlignment="1"/>
    <xf numFmtId="166" fontId="19" fillId="2" borderId="16" xfId="1" applyNumberFormat="1" applyFont="1" applyFill="1" applyBorder="1" applyAlignment="1"/>
    <xf numFmtId="166" fontId="19" fillId="2" borderId="13" xfId="1" applyNumberFormat="1" applyFont="1" applyFill="1" applyBorder="1" applyAlignment="1"/>
    <xf numFmtId="166" fontId="16" fillId="2" borderId="17" xfId="1" applyNumberFormat="1" applyFont="1" applyFill="1" applyBorder="1" applyAlignment="1"/>
    <xf numFmtId="166" fontId="19" fillId="2" borderId="17" xfId="1" applyNumberFormat="1" applyFont="1" applyFill="1" applyBorder="1" applyAlignment="1"/>
    <xf numFmtId="166" fontId="19" fillId="2" borderId="35" xfId="1" applyNumberFormat="1" applyFont="1" applyFill="1" applyBorder="1" applyAlignment="1"/>
    <xf numFmtId="166" fontId="19" fillId="0" borderId="0" xfId="1" applyNumberFormat="1" applyFont="1" applyAlignment="1"/>
    <xf numFmtId="166" fontId="19" fillId="2" borderId="107" xfId="0" applyNumberFormat="1" applyFont="1" applyFill="1" applyBorder="1" applyAlignment="1">
      <alignment vertical="center"/>
    </xf>
    <xf numFmtId="166" fontId="19" fillId="2" borderId="61" xfId="1" applyNumberFormat="1" applyFont="1" applyFill="1" applyBorder="1" applyAlignment="1">
      <alignment vertical="center"/>
    </xf>
    <xf numFmtId="166" fontId="19" fillId="2" borderId="91" xfId="1" applyNumberFormat="1" applyFont="1" applyFill="1" applyBorder="1" applyAlignment="1">
      <alignment vertical="center"/>
    </xf>
    <xf numFmtId="166" fontId="19" fillId="2" borderId="59" xfId="1" applyNumberFormat="1" applyFont="1" applyFill="1" applyBorder="1" applyAlignment="1">
      <alignment vertical="center"/>
    </xf>
    <xf numFmtId="166" fontId="19" fillId="5" borderId="59" xfId="1" applyNumberFormat="1" applyFont="1" applyFill="1" applyBorder="1" applyAlignment="1">
      <alignment vertical="center"/>
    </xf>
    <xf numFmtId="166" fontId="19" fillId="5" borderId="61" xfId="1" applyNumberFormat="1" applyFont="1" applyFill="1" applyBorder="1" applyAlignment="1">
      <alignment vertical="center"/>
    </xf>
    <xf numFmtId="166" fontId="19" fillId="5" borderId="91" xfId="1" applyNumberFormat="1" applyFont="1" applyFill="1" applyBorder="1" applyAlignment="1">
      <alignment vertical="center"/>
    </xf>
    <xf numFmtId="166" fontId="19" fillId="5" borderId="61" xfId="0" applyNumberFormat="1" applyFont="1" applyFill="1" applyBorder="1" applyAlignment="1">
      <alignment vertical="center"/>
    </xf>
    <xf numFmtId="166" fontId="19" fillId="5" borderId="91" xfId="0" applyNumberFormat="1" applyFont="1" applyFill="1" applyBorder="1" applyAlignment="1">
      <alignment vertical="center"/>
    </xf>
    <xf numFmtId="166" fontId="19" fillId="2" borderId="112" xfId="0" applyNumberFormat="1" applyFont="1" applyFill="1" applyBorder="1" applyAlignment="1">
      <alignment vertical="center"/>
    </xf>
    <xf numFmtId="166" fontId="19" fillId="2" borderId="57" xfId="0" applyNumberFormat="1" applyFont="1" applyFill="1" applyBorder="1" applyAlignment="1">
      <alignment vertical="center"/>
    </xf>
    <xf numFmtId="166" fontId="19" fillId="2" borderId="60" xfId="0" applyNumberFormat="1" applyFont="1" applyFill="1" applyBorder="1" applyAlignment="1">
      <alignment vertical="center"/>
    </xf>
    <xf numFmtId="166" fontId="17" fillId="4" borderId="111" xfId="0" applyNumberFormat="1" applyFont="1" applyFill="1" applyBorder="1" applyAlignment="1">
      <alignment vertical="center"/>
    </xf>
    <xf numFmtId="166" fontId="17" fillId="4" borderId="110" xfId="0" applyNumberFormat="1" applyFont="1" applyFill="1" applyBorder="1" applyAlignment="1">
      <alignment vertical="center"/>
    </xf>
    <xf numFmtId="166" fontId="19" fillId="5" borderId="53" xfId="0" applyNumberFormat="1" applyFont="1" applyFill="1" applyBorder="1" applyAlignment="1">
      <alignment vertical="center"/>
    </xf>
    <xf numFmtId="166" fontId="19" fillId="5" borderId="109" xfId="0" applyNumberFormat="1" applyFont="1" applyFill="1" applyBorder="1" applyAlignment="1">
      <alignment vertical="center"/>
    </xf>
    <xf numFmtId="166" fontId="19" fillId="5" borderId="60" xfId="1" applyNumberFormat="1" applyFont="1" applyFill="1" applyBorder="1" applyAlignment="1">
      <alignment vertical="center"/>
    </xf>
    <xf numFmtId="166" fontId="19" fillId="5" borderId="108" xfId="1" applyNumberFormat="1" applyFont="1" applyFill="1" applyBorder="1" applyAlignment="1">
      <alignment vertical="center"/>
    </xf>
    <xf numFmtId="166" fontId="16" fillId="5" borderId="88" xfId="0" applyNumberFormat="1" applyFont="1" applyFill="1" applyBorder="1" applyAlignment="1">
      <alignment vertical="center"/>
    </xf>
    <xf numFmtId="166" fontId="16" fillId="5" borderId="106" xfId="0" applyNumberFormat="1" applyFont="1" applyFill="1" applyBorder="1" applyAlignment="1">
      <alignment vertical="center"/>
    </xf>
    <xf numFmtId="166" fontId="16" fillId="5" borderId="53" xfId="0" applyNumberFormat="1" applyFont="1" applyFill="1" applyBorder="1" applyAlignment="1">
      <alignment vertical="center"/>
    </xf>
    <xf numFmtId="166" fontId="16" fillId="5" borderId="109" xfId="0" applyNumberFormat="1" applyFont="1" applyFill="1" applyBorder="1" applyAlignment="1">
      <alignment vertical="center"/>
    </xf>
    <xf numFmtId="166" fontId="19" fillId="5" borderId="60" xfId="0" applyNumberFormat="1" applyFont="1" applyFill="1" applyBorder="1" applyAlignment="1">
      <alignment vertical="center"/>
    </xf>
    <xf numFmtId="166" fontId="19" fillId="5" borderId="108" xfId="0" applyNumberFormat="1" applyFont="1" applyFill="1" applyBorder="1" applyAlignment="1">
      <alignment vertical="center"/>
    </xf>
    <xf numFmtId="166" fontId="19" fillId="5" borderId="107" xfId="0" applyNumberFormat="1" applyFont="1" applyFill="1" applyBorder="1" applyAlignment="1">
      <alignment vertical="center"/>
    </xf>
    <xf numFmtId="166" fontId="19" fillId="5" borderId="87" xfId="0" applyNumberFormat="1" applyFont="1" applyFill="1" applyBorder="1" applyAlignment="1">
      <alignment vertical="center"/>
    </xf>
    <xf numFmtId="166" fontId="16" fillId="5" borderId="60" xfId="0" applyNumberFormat="1" applyFont="1" applyFill="1" applyBorder="1" applyAlignment="1">
      <alignment vertical="center"/>
    </xf>
    <xf numFmtId="166" fontId="16" fillId="5" borderId="108" xfId="0" applyNumberFormat="1" applyFont="1" applyFill="1" applyBorder="1" applyAlignment="1">
      <alignment vertical="center"/>
    </xf>
    <xf numFmtId="166" fontId="19" fillId="5" borderId="0" xfId="1" applyNumberFormat="1" applyFont="1" applyFill="1" applyBorder="1" applyAlignment="1">
      <alignment vertical="center"/>
    </xf>
    <xf numFmtId="166" fontId="19" fillId="0" borderId="87" xfId="0" applyNumberFormat="1" applyFont="1" applyBorder="1" applyAlignment="1">
      <alignment vertical="center"/>
    </xf>
    <xf numFmtId="166" fontId="19" fillId="0" borderId="60" xfId="0" applyNumberFormat="1" applyFont="1" applyBorder="1" applyAlignment="1">
      <alignment vertical="center"/>
    </xf>
    <xf numFmtId="166" fontId="19" fillId="0" borderId="60" xfId="1" applyNumberFormat="1" applyFont="1" applyFill="1" applyBorder="1" applyAlignment="1">
      <alignment vertical="center"/>
    </xf>
    <xf numFmtId="166" fontId="19" fillId="2" borderId="58" xfId="1" applyNumberFormat="1" applyFont="1" applyFill="1" applyBorder="1" applyAlignment="1">
      <alignment vertical="center"/>
    </xf>
    <xf numFmtId="166" fontId="19" fillId="0" borderId="59" xfId="0" applyNumberFormat="1" applyFont="1" applyBorder="1" applyAlignment="1">
      <alignment vertical="center"/>
    </xf>
    <xf numFmtId="166" fontId="16" fillId="5" borderId="0" xfId="0" applyNumberFormat="1" applyFont="1" applyFill="1"/>
    <xf numFmtId="166" fontId="16" fillId="5" borderId="7" xfId="0" applyNumberFormat="1" applyFont="1" applyFill="1" applyBorder="1"/>
    <xf numFmtId="166" fontId="23" fillId="5" borderId="15" xfId="0" applyNumberFormat="1" applyFont="1" applyFill="1" applyBorder="1"/>
    <xf numFmtId="166" fontId="23" fillId="5" borderId="18" xfId="0" applyNumberFormat="1" applyFont="1" applyFill="1" applyBorder="1"/>
    <xf numFmtId="166" fontId="23" fillId="5" borderId="13" xfId="0" applyNumberFormat="1" applyFont="1" applyFill="1" applyBorder="1"/>
    <xf numFmtId="166" fontId="23" fillId="5" borderId="0" xfId="0" applyNumberFormat="1" applyFont="1" applyFill="1"/>
    <xf numFmtId="166" fontId="19" fillId="5" borderId="55" xfId="1" applyNumberFormat="1" applyFont="1" applyFill="1" applyBorder="1"/>
    <xf numFmtId="166" fontId="23" fillId="5" borderId="17" xfId="0" applyNumberFormat="1" applyFont="1" applyFill="1" applyBorder="1"/>
    <xf numFmtId="166" fontId="23" fillId="5" borderId="38" xfId="0" applyNumberFormat="1" applyFont="1" applyFill="1" applyBorder="1"/>
    <xf numFmtId="166" fontId="19" fillId="5" borderId="0" xfId="0" applyNumberFormat="1" applyFont="1" applyFill="1"/>
    <xf numFmtId="166" fontId="16" fillId="5" borderId="17" xfId="0" applyNumberFormat="1" applyFont="1" applyFill="1" applyBorder="1"/>
    <xf numFmtId="166" fontId="16" fillId="5" borderId="38" xfId="0" applyNumberFormat="1" applyFont="1" applyFill="1" applyBorder="1"/>
    <xf numFmtId="166" fontId="23" fillId="0" borderId="13" xfId="0" applyNumberFormat="1" applyFont="1" applyBorder="1"/>
    <xf numFmtId="166" fontId="19" fillId="5" borderId="33" xfId="0" applyNumberFormat="1" applyFont="1" applyFill="1" applyBorder="1"/>
    <xf numFmtId="166" fontId="19" fillId="5" borderId="17" xfId="0" applyNumberFormat="1" applyFont="1" applyFill="1" applyBorder="1"/>
    <xf numFmtId="166" fontId="19" fillId="5" borderId="38" xfId="0" applyNumberFormat="1" applyFont="1" applyFill="1" applyBorder="1"/>
    <xf numFmtId="166" fontId="19" fillId="5" borderId="35" xfId="0" applyNumberFormat="1" applyFont="1" applyFill="1" applyBorder="1"/>
    <xf numFmtId="166" fontId="19" fillId="5" borderId="36" xfId="0" applyNumberFormat="1" applyFont="1" applyFill="1" applyBorder="1"/>
    <xf numFmtId="166" fontId="16" fillId="4" borderId="40" xfId="0" applyNumberFormat="1" applyFont="1" applyFill="1" applyBorder="1"/>
    <xf numFmtId="166" fontId="3" fillId="2" borderId="15" xfId="0" applyNumberFormat="1" applyFont="1" applyFill="1" applyBorder="1"/>
    <xf numFmtId="166" fontId="3" fillId="2" borderId="18" xfId="0" applyNumberFormat="1" applyFont="1" applyFill="1" applyBorder="1"/>
    <xf numFmtId="166" fontId="19" fillId="5" borderId="29" xfId="0" applyNumberFormat="1" applyFont="1" applyFill="1" applyBorder="1"/>
    <xf numFmtId="166" fontId="21" fillId="0" borderId="0" xfId="0" applyNumberFormat="1" applyFont="1"/>
    <xf numFmtId="166" fontId="17" fillId="0" borderId="0" xfId="0" applyNumberFormat="1" applyFont="1" applyAlignment="1">
      <alignment horizontal="center"/>
    </xf>
    <xf numFmtId="166" fontId="17" fillId="4" borderId="29" xfId="0" applyNumberFormat="1" applyFont="1" applyFill="1" applyBorder="1" applyAlignment="1">
      <alignment horizontal="center"/>
    </xf>
    <xf numFmtId="166" fontId="16" fillId="2" borderId="12" xfId="0" applyNumberFormat="1" applyFont="1" applyFill="1" applyBorder="1"/>
    <xf numFmtId="166" fontId="19" fillId="2" borderId="12" xfId="0" applyNumberFormat="1" applyFont="1" applyFill="1" applyBorder="1"/>
    <xf numFmtId="166" fontId="19" fillId="2" borderId="20" xfId="0" applyNumberFormat="1" applyFont="1" applyFill="1" applyBorder="1"/>
    <xf numFmtId="166" fontId="16" fillId="2" borderId="0" xfId="0" applyNumberFormat="1" applyFont="1" applyFill="1" applyAlignment="1">
      <alignment horizontal="center" vertical="center"/>
    </xf>
    <xf numFmtId="166" fontId="17" fillId="2" borderId="0" xfId="0" applyNumberFormat="1" applyFont="1" applyFill="1" applyAlignment="1">
      <alignment horizontal="center"/>
    </xf>
    <xf numFmtId="166" fontId="16" fillId="2" borderId="0" xfId="0" applyNumberFormat="1" applyFont="1" applyFill="1" applyAlignment="1">
      <alignment horizontal="center"/>
    </xf>
    <xf numFmtId="166" fontId="22" fillId="0" borderId="0" xfId="0" applyNumberFormat="1" applyFont="1" applyAlignment="1">
      <alignment horizontal="center"/>
    </xf>
    <xf numFmtId="166" fontId="17" fillId="4" borderId="12" xfId="0" applyNumberFormat="1" applyFont="1" applyFill="1" applyBorder="1" applyAlignment="1">
      <alignment horizontal="center" vertical="center"/>
    </xf>
    <xf numFmtId="166" fontId="17" fillId="4" borderId="29" xfId="0" applyNumberFormat="1" applyFont="1" applyFill="1" applyBorder="1"/>
    <xf numFmtId="166" fontId="21" fillId="2" borderId="20" xfId="0" applyNumberFormat="1" applyFont="1" applyFill="1" applyBorder="1"/>
    <xf numFmtId="166" fontId="20" fillId="0" borderId="0" xfId="0" applyNumberFormat="1" applyFont="1"/>
    <xf numFmtId="166" fontId="20" fillId="2" borderId="12" xfId="0" applyNumberFormat="1" applyFont="1" applyFill="1" applyBorder="1"/>
    <xf numFmtId="166" fontId="20" fillId="2" borderId="13" xfId="0" applyNumberFormat="1" applyFont="1" applyFill="1" applyBorder="1"/>
    <xf numFmtId="166" fontId="19" fillId="2" borderId="117" xfId="0" applyNumberFormat="1" applyFont="1" applyFill="1" applyBorder="1"/>
    <xf numFmtId="166" fontId="19" fillId="2" borderId="25" xfId="0" applyNumberFormat="1" applyFont="1" applyFill="1" applyBorder="1"/>
    <xf numFmtId="164" fontId="21" fillId="2" borderId="12" xfId="0" applyNumberFormat="1" applyFont="1" applyFill="1" applyBorder="1"/>
    <xf numFmtId="49" fontId="17" fillId="2" borderId="13" xfId="0" applyNumberFormat="1" applyFont="1" applyFill="1" applyBorder="1"/>
    <xf numFmtId="164" fontId="19" fillId="2" borderId="29" xfId="0" applyNumberFormat="1" applyFont="1" applyFill="1" applyBorder="1"/>
    <xf numFmtId="166" fontId="23" fillId="5" borderId="12" xfId="0" applyNumberFormat="1" applyFont="1" applyFill="1" applyBorder="1"/>
    <xf numFmtId="169" fontId="16" fillId="2" borderId="73" xfId="0" applyNumberFormat="1" applyFont="1" applyFill="1" applyBorder="1" applyAlignment="1">
      <alignment vertical="center"/>
    </xf>
    <xf numFmtId="14" fontId="17" fillId="4" borderId="19" xfId="0" applyNumberFormat="1" applyFont="1" applyFill="1" applyBorder="1" applyAlignment="1">
      <alignment horizontal="center"/>
    </xf>
    <xf numFmtId="14" fontId="17" fillId="4" borderId="26" xfId="0" applyNumberFormat="1" applyFont="1" applyFill="1" applyBorder="1" applyAlignment="1">
      <alignment horizontal="center"/>
    </xf>
    <xf numFmtId="49" fontId="19" fillId="5" borderId="13" xfId="0" applyNumberFormat="1" applyFont="1" applyFill="1" applyBorder="1" applyAlignment="1">
      <alignment vertical="center"/>
    </xf>
    <xf numFmtId="9" fontId="23" fillId="5" borderId="0" xfId="0" applyNumberFormat="1" applyFont="1" applyFill="1" applyAlignment="1">
      <alignment horizontal="right" vertical="center"/>
    </xf>
    <xf numFmtId="9" fontId="23" fillId="5" borderId="10" xfId="0" applyNumberFormat="1" applyFont="1" applyFill="1" applyBorder="1" applyAlignment="1">
      <alignment horizontal="right" vertical="center"/>
    </xf>
    <xf numFmtId="0" fontId="19" fillId="5" borderId="0" xfId="0" applyFont="1" applyFill="1"/>
    <xf numFmtId="169" fontId="16" fillId="3" borderId="0" xfId="0" applyNumberFormat="1" applyFont="1" applyFill="1" applyAlignment="1">
      <alignment vertical="center"/>
    </xf>
    <xf numFmtId="169" fontId="16" fillId="5" borderId="73" xfId="0" applyNumberFormat="1" applyFont="1" applyFill="1" applyBorder="1" applyAlignment="1">
      <alignment vertical="center"/>
    </xf>
    <xf numFmtId="169" fontId="23" fillId="3" borderId="0" xfId="0" applyNumberFormat="1" applyFont="1" applyFill="1" applyAlignment="1">
      <alignment horizontal="right" vertical="center"/>
    </xf>
    <xf numFmtId="169" fontId="23" fillId="2" borderId="70" xfId="0" applyNumberFormat="1" applyFont="1" applyFill="1" applyBorder="1" applyAlignment="1">
      <alignment horizontal="right" vertical="center"/>
    </xf>
    <xf numFmtId="169" fontId="23" fillId="5" borderId="70" xfId="0" applyNumberFormat="1" applyFont="1" applyFill="1" applyBorder="1" applyAlignment="1">
      <alignment horizontal="right" vertical="center"/>
    </xf>
    <xf numFmtId="169" fontId="21" fillId="4" borderId="76" xfId="0" applyNumberFormat="1" applyFont="1" applyFill="1" applyBorder="1" applyAlignment="1">
      <alignment horizontal="right" vertical="center"/>
    </xf>
    <xf numFmtId="169" fontId="16" fillId="3" borderId="7" xfId="0" applyNumberFormat="1" applyFont="1" applyFill="1" applyBorder="1" applyAlignment="1">
      <alignment vertical="center"/>
    </xf>
    <xf numFmtId="166" fontId="1" fillId="2" borderId="0" xfId="0" applyNumberFormat="1" applyFont="1" applyFill="1" applyAlignment="1">
      <alignment horizontal="center" vertical="center"/>
    </xf>
    <xf numFmtId="166" fontId="0" fillId="0" borderId="0" xfId="0" applyNumberFormat="1"/>
    <xf numFmtId="166" fontId="1" fillId="2" borderId="0" xfId="0" applyNumberFormat="1" applyFont="1" applyFill="1" applyAlignment="1">
      <alignment vertical="center"/>
    </xf>
    <xf numFmtId="166" fontId="5" fillId="2" borderId="0" xfId="0" applyNumberFormat="1" applyFont="1" applyFill="1" applyAlignment="1">
      <alignment horizontal="center"/>
    </xf>
    <xf numFmtId="166" fontId="6" fillId="0" borderId="0" xfId="0" applyNumberFormat="1" applyFont="1"/>
    <xf numFmtId="166" fontId="1" fillId="2" borderId="0" xfId="0" applyNumberFormat="1" applyFont="1" applyFill="1" applyAlignment="1">
      <alignment horizontal="center"/>
    </xf>
    <xf numFmtId="166" fontId="13" fillId="2" borderId="22" xfId="0" applyNumberFormat="1" applyFont="1" applyFill="1" applyBorder="1" applyAlignment="1">
      <alignment horizontal="center"/>
    </xf>
    <xf numFmtId="166" fontId="14" fillId="0" borderId="22" xfId="0" applyNumberFormat="1" applyFont="1" applyBorder="1" applyAlignment="1">
      <alignment horizontal="center"/>
    </xf>
    <xf numFmtId="166" fontId="7" fillId="4" borderId="23" xfId="0" applyNumberFormat="1" applyFont="1" applyFill="1" applyBorder="1" applyAlignment="1">
      <alignment horizontal="center" vertical="center" wrapText="1"/>
    </xf>
    <xf numFmtId="166" fontId="7" fillId="4" borderId="24" xfId="0" applyNumberFormat="1" applyFont="1" applyFill="1" applyBorder="1" applyAlignment="1">
      <alignment horizontal="center" vertical="center" wrapText="1"/>
    </xf>
    <xf numFmtId="166" fontId="7" fillId="4" borderId="19" xfId="0" applyNumberFormat="1" applyFont="1" applyFill="1" applyBorder="1" applyAlignment="1">
      <alignment horizontal="center"/>
    </xf>
    <xf numFmtId="166" fontId="7" fillId="4" borderId="0" xfId="0" applyNumberFormat="1" applyFont="1" applyFill="1" applyAlignment="1">
      <alignment horizontal="center"/>
    </xf>
    <xf numFmtId="166" fontId="21" fillId="6" borderId="24" xfId="0" applyNumberFormat="1" applyFont="1" applyFill="1" applyBorder="1"/>
    <xf numFmtId="166" fontId="21" fillId="2" borderId="0" xfId="0" applyNumberFormat="1" applyFont="1" applyFill="1"/>
    <xf numFmtId="166" fontId="21" fillId="2" borderId="28" xfId="0" applyNumberFormat="1" applyFont="1" applyFill="1" applyBorder="1"/>
    <xf numFmtId="166" fontId="23" fillId="6" borderId="24" xfId="0" applyNumberFormat="1" applyFont="1" applyFill="1" applyBorder="1"/>
    <xf numFmtId="166" fontId="16" fillId="3" borderId="22" xfId="2" applyNumberFormat="1" applyFont="1" applyFill="1" applyBorder="1" applyAlignment="1"/>
    <xf numFmtId="166" fontId="19" fillId="3" borderId="22" xfId="0" applyNumberFormat="1" applyFont="1" applyFill="1" applyBorder="1"/>
    <xf numFmtId="2" fontId="16" fillId="3" borderId="22" xfId="2" applyNumberFormat="1" applyFont="1" applyFill="1" applyBorder="1" applyAlignment="1"/>
    <xf numFmtId="2" fontId="16" fillId="3" borderId="116" xfId="2" applyNumberFormat="1" applyFont="1" applyFill="1" applyBorder="1" applyAlignment="1"/>
    <xf numFmtId="166" fontId="30" fillId="0" borderId="0" xfId="0" applyNumberFormat="1" applyFont="1"/>
    <xf numFmtId="166" fontId="15" fillId="0" borderId="22" xfId="0" applyNumberFormat="1" applyFont="1" applyBorder="1" applyAlignment="1">
      <alignment horizontal="center"/>
    </xf>
    <xf numFmtId="166" fontId="15" fillId="0" borderId="116" xfId="0" applyNumberFormat="1" applyFont="1" applyBorder="1" applyAlignment="1">
      <alignment horizontal="center"/>
    </xf>
    <xf numFmtId="166" fontId="7" fillId="4" borderId="25" xfId="0" applyNumberFormat="1" applyFont="1" applyFill="1" applyBorder="1" applyAlignment="1">
      <alignment horizontal="center" vertical="center" wrapText="1"/>
    </xf>
    <xf numFmtId="166" fontId="7" fillId="4" borderId="26" xfId="0" applyNumberFormat="1" applyFont="1" applyFill="1" applyBorder="1" applyAlignment="1">
      <alignment horizontal="center"/>
    </xf>
    <xf numFmtId="166" fontId="21" fillId="6" borderId="25" xfId="0" applyNumberFormat="1" applyFont="1" applyFill="1" applyBorder="1"/>
    <xf numFmtId="166" fontId="21" fillId="2" borderId="26" xfId="0" applyNumberFormat="1" applyFont="1" applyFill="1" applyBorder="1"/>
    <xf numFmtId="166" fontId="21" fillId="2" borderId="117" xfId="0" applyNumberFormat="1" applyFont="1" applyFill="1" applyBorder="1"/>
    <xf numFmtId="166" fontId="23" fillId="6" borderId="25" xfId="0" applyNumberFormat="1" applyFont="1" applyFill="1" applyBorder="1"/>
    <xf numFmtId="166" fontId="16" fillId="3" borderId="116" xfId="2" applyNumberFormat="1" applyFont="1" applyFill="1" applyBorder="1" applyAlignment="1"/>
    <xf numFmtId="166" fontId="19" fillId="0" borderId="26" xfId="0" applyNumberFormat="1" applyFont="1" applyBorder="1"/>
    <xf numFmtId="166" fontId="20" fillId="3" borderId="22" xfId="0" applyNumberFormat="1" applyFont="1" applyFill="1" applyBorder="1"/>
    <xf numFmtId="166" fontId="19" fillId="3" borderId="116" xfId="0" applyNumberFormat="1" applyFont="1" applyFill="1" applyBorder="1"/>
    <xf numFmtId="166" fontId="17" fillId="3" borderId="20" xfId="0" applyNumberFormat="1" applyFont="1" applyFill="1" applyBorder="1"/>
    <xf numFmtId="14" fontId="17" fillId="4" borderId="13" xfId="0" applyNumberFormat="1" applyFont="1" applyFill="1" applyBorder="1"/>
    <xf numFmtId="169" fontId="7" fillId="4" borderId="0" xfId="0" applyNumberFormat="1" applyFont="1" applyFill="1" applyAlignment="1">
      <alignment horizontal="center"/>
    </xf>
    <xf numFmtId="169" fontId="23" fillId="2" borderId="28" xfId="0" applyNumberFormat="1" applyFont="1" applyFill="1" applyBorder="1"/>
    <xf numFmtId="166" fontId="23" fillId="2" borderId="28" xfId="0" applyNumberFormat="1" applyFont="1" applyFill="1" applyBorder="1"/>
    <xf numFmtId="166" fontId="23" fillId="2" borderId="117" xfId="0" applyNumberFormat="1" applyFont="1" applyFill="1" applyBorder="1"/>
    <xf numFmtId="169" fontId="17" fillId="6" borderId="24" xfId="0" applyNumberFormat="1" applyFont="1" applyFill="1" applyBorder="1" applyAlignment="1">
      <alignment wrapText="1"/>
    </xf>
    <xf numFmtId="166" fontId="17" fillId="6" borderId="24" xfId="0" applyNumberFormat="1" applyFont="1" applyFill="1" applyBorder="1" applyAlignment="1">
      <alignment wrapText="1"/>
    </xf>
    <xf numFmtId="166" fontId="17" fillId="6" borderId="25" xfId="0" applyNumberFormat="1" applyFont="1" applyFill="1" applyBorder="1" applyAlignment="1">
      <alignment wrapText="1"/>
    </xf>
    <xf numFmtId="166" fontId="19" fillId="0" borderId="117" xfId="0" applyNumberFormat="1" applyFont="1" applyBorder="1"/>
    <xf numFmtId="169" fontId="19" fillId="6" borderId="24" xfId="0" applyNumberFormat="1" applyFont="1" applyFill="1" applyBorder="1"/>
    <xf numFmtId="166" fontId="19" fillId="6" borderId="24" xfId="0" applyNumberFormat="1" applyFont="1" applyFill="1" applyBorder="1"/>
    <xf numFmtId="166" fontId="20" fillId="6" borderId="24" xfId="0" applyNumberFormat="1" applyFont="1" applyFill="1" applyBorder="1"/>
    <xf numFmtId="166" fontId="19" fillId="6" borderId="25" xfId="0" applyNumberFormat="1" applyFont="1" applyFill="1" applyBorder="1"/>
    <xf numFmtId="169" fontId="19" fillId="5" borderId="28" xfId="0" applyNumberFormat="1" applyFont="1" applyFill="1" applyBorder="1"/>
    <xf numFmtId="166" fontId="19" fillId="5" borderId="28" xfId="0" applyNumberFormat="1" applyFont="1" applyFill="1" applyBorder="1"/>
    <xf numFmtId="166" fontId="20" fillId="5" borderId="28" xfId="0" applyNumberFormat="1" applyFont="1" applyFill="1" applyBorder="1"/>
    <xf numFmtId="166" fontId="19" fillId="5" borderId="117" xfId="0" applyNumberFormat="1" applyFont="1" applyFill="1" applyBorder="1"/>
    <xf numFmtId="49" fontId="21" fillId="2" borderId="29" xfId="0" applyNumberFormat="1" applyFont="1" applyFill="1" applyBorder="1"/>
    <xf numFmtId="49" fontId="23" fillId="2" borderId="29" xfId="0" applyNumberFormat="1" applyFont="1" applyFill="1" applyBorder="1"/>
    <xf numFmtId="49" fontId="17" fillId="6" borderId="12" xfId="0" applyNumberFormat="1" applyFont="1" applyFill="1" applyBorder="1" applyAlignment="1">
      <alignment vertical="top" wrapText="1"/>
    </xf>
    <xf numFmtId="0" fontId="19" fillId="6" borderId="12" xfId="0" applyFont="1" applyFill="1" applyBorder="1"/>
    <xf numFmtId="0" fontId="19" fillId="0" borderId="29" xfId="0" applyFont="1" applyBorder="1"/>
    <xf numFmtId="166" fontId="3" fillId="2" borderId="12" xfId="0" applyNumberFormat="1" applyFont="1" applyFill="1" applyBorder="1"/>
    <xf numFmtId="2" fontId="19" fillId="0" borderId="0" xfId="0" applyNumberFormat="1" applyFont="1"/>
    <xf numFmtId="166" fontId="31" fillId="5" borderId="15" xfId="0" applyNumberFormat="1" applyFont="1" applyFill="1" applyBorder="1"/>
    <xf numFmtId="166" fontId="31" fillId="5" borderId="13" xfId="0" applyNumberFormat="1" applyFont="1" applyFill="1" applyBorder="1"/>
    <xf numFmtId="166" fontId="31" fillId="5" borderId="17" xfId="0" applyNumberFormat="1" applyFont="1" applyFill="1" applyBorder="1"/>
    <xf numFmtId="166" fontId="32" fillId="5" borderId="13" xfId="0" applyNumberFormat="1" applyFont="1" applyFill="1" applyBorder="1"/>
    <xf numFmtId="166" fontId="13" fillId="5" borderId="17" xfId="0" applyNumberFormat="1" applyFont="1" applyFill="1" applyBorder="1"/>
    <xf numFmtId="166" fontId="32" fillId="5" borderId="16" xfId="0" applyNumberFormat="1" applyFont="1" applyFill="1" applyBorder="1"/>
    <xf numFmtId="166" fontId="32" fillId="5" borderId="17" xfId="0" applyNumberFormat="1" applyFont="1" applyFill="1" applyBorder="1"/>
    <xf numFmtId="166" fontId="32" fillId="5" borderId="35" xfId="0" applyNumberFormat="1" applyFont="1" applyFill="1" applyBorder="1"/>
    <xf numFmtId="165" fontId="16" fillId="5" borderId="71" xfId="0" applyNumberFormat="1" applyFont="1" applyFill="1" applyBorder="1" applyAlignment="1">
      <alignment vertical="center"/>
    </xf>
    <xf numFmtId="15" fontId="33" fillId="0" borderId="0" xfId="0" applyNumberFormat="1" applyFont="1" applyAlignment="1">
      <alignment horizontal="left" vertical="center" wrapText="1"/>
    </xf>
    <xf numFmtId="166" fontId="17" fillId="4" borderId="119" xfId="0" applyNumberFormat="1" applyFont="1" applyFill="1" applyBorder="1" applyAlignment="1">
      <alignment vertical="center"/>
    </xf>
    <xf numFmtId="166" fontId="17" fillId="4" borderId="120" xfId="0" applyNumberFormat="1" applyFont="1" applyFill="1" applyBorder="1" applyAlignment="1">
      <alignment vertical="center"/>
    </xf>
    <xf numFmtId="9" fontId="21" fillId="4" borderId="78" xfId="2" applyFont="1" applyFill="1" applyBorder="1" applyAlignment="1">
      <alignment horizontal="right" vertical="center"/>
    </xf>
    <xf numFmtId="9" fontId="21" fillId="4" borderId="121" xfId="0" applyNumberFormat="1" applyFont="1" applyFill="1" applyBorder="1" applyAlignment="1">
      <alignment horizontal="right" vertical="center"/>
    </xf>
    <xf numFmtId="169" fontId="20" fillId="0" borderId="0" xfId="0" applyNumberFormat="1" applyFont="1"/>
    <xf numFmtId="169" fontId="20" fillId="2" borderId="12" xfId="0" applyNumberFormat="1" applyFont="1" applyFill="1" applyBorder="1"/>
    <xf numFmtId="169" fontId="20" fillId="0" borderId="13" xfId="0" applyNumberFormat="1" applyFont="1" applyBorder="1"/>
    <xf numFmtId="169" fontId="20" fillId="2" borderId="13" xfId="0" applyNumberFormat="1" applyFont="1" applyFill="1" applyBorder="1"/>
    <xf numFmtId="164" fontId="21" fillId="2" borderId="54" xfId="0" applyNumberFormat="1" applyFont="1" applyFill="1" applyBorder="1" applyAlignment="1">
      <alignment vertical="center" wrapText="1"/>
    </xf>
    <xf numFmtId="49" fontId="21" fillId="2" borderId="54" xfId="0" applyNumberFormat="1" applyFont="1" applyFill="1" applyBorder="1" applyAlignment="1">
      <alignment horizontal="justify" vertical="center" wrapText="1"/>
    </xf>
    <xf numFmtId="164" fontId="21" fillId="5" borderId="54" xfId="0" applyNumberFormat="1" applyFont="1" applyFill="1" applyBorder="1" applyAlignment="1">
      <alignment vertical="center" wrapText="1"/>
    </xf>
    <xf numFmtId="49" fontId="21" fillId="2" borderId="122" xfId="0" applyNumberFormat="1" applyFont="1" applyFill="1" applyBorder="1" applyAlignment="1">
      <alignment horizontal="justify" vertical="center" wrapText="1"/>
    </xf>
    <xf numFmtId="49" fontId="21" fillId="2" borderId="54" xfId="0" applyNumberFormat="1" applyFont="1" applyFill="1" applyBorder="1" applyAlignment="1">
      <alignment vertical="center" wrapText="1"/>
    </xf>
    <xf numFmtId="49" fontId="21" fillId="2" borderId="122" xfId="0" applyNumberFormat="1" applyFont="1" applyFill="1" applyBorder="1" applyAlignment="1">
      <alignment vertical="center" wrapText="1"/>
    </xf>
    <xf numFmtId="165" fontId="21" fillId="2" borderId="54" xfId="0" applyNumberFormat="1" applyFont="1" applyFill="1" applyBorder="1" applyAlignment="1">
      <alignment vertical="center" wrapText="1"/>
    </xf>
    <xf numFmtId="49" fontId="21" fillId="2" borderId="123" xfId="0" applyNumberFormat="1" applyFont="1" applyFill="1" applyBorder="1" applyAlignment="1">
      <alignment vertical="center" wrapText="1"/>
    </xf>
    <xf numFmtId="164" fontId="19" fillId="2" borderId="12" xfId="0" applyNumberFormat="1" applyFont="1" applyFill="1" applyBorder="1" applyAlignment="1">
      <alignment vertical="center" wrapText="1"/>
    </xf>
    <xf numFmtId="164" fontId="19" fillId="2" borderId="13" xfId="0" applyNumberFormat="1" applyFont="1" applyFill="1" applyBorder="1" applyAlignment="1">
      <alignment vertical="center" wrapText="1"/>
    </xf>
    <xf numFmtId="49" fontId="19" fillId="2" borderId="13" xfId="0" applyNumberFormat="1" applyFont="1" applyFill="1" applyBorder="1" applyAlignment="1">
      <alignment vertical="center" wrapText="1"/>
    </xf>
    <xf numFmtId="165" fontId="19" fillId="2" borderId="13" xfId="0" applyNumberFormat="1" applyFont="1" applyFill="1" applyBorder="1" applyAlignment="1">
      <alignment vertical="center" wrapText="1"/>
    </xf>
    <xf numFmtId="49" fontId="23" fillId="2" borderId="13" xfId="0" applyNumberFormat="1" applyFont="1" applyFill="1" applyBorder="1" applyAlignment="1">
      <alignment horizontal="justify" vertical="center" wrapText="1"/>
    </xf>
    <xf numFmtId="164" fontId="19" fillId="2" borderId="29" xfId="0" applyNumberFormat="1" applyFont="1" applyFill="1" applyBorder="1" applyAlignment="1">
      <alignment vertical="center" wrapText="1"/>
    </xf>
    <xf numFmtId="15" fontId="17" fillId="0" borderId="122" xfId="0" applyNumberFormat="1" applyFont="1" applyBorder="1" applyAlignment="1">
      <alignment horizontal="left" vertical="center" wrapText="1"/>
    </xf>
    <xf numFmtId="165" fontId="16" fillId="2" borderId="35" xfId="0" applyNumberFormat="1" applyFont="1" applyFill="1" applyBorder="1" applyAlignment="1">
      <alignment vertical="center"/>
    </xf>
    <xf numFmtId="15" fontId="17" fillId="0" borderId="13" xfId="0" applyNumberFormat="1" applyFont="1" applyBorder="1" applyAlignment="1">
      <alignment horizontal="left" vertical="center" wrapText="1"/>
    </xf>
    <xf numFmtId="164" fontId="19" fillId="0" borderId="13" xfId="0" applyNumberFormat="1" applyFont="1" applyBorder="1" applyAlignment="1">
      <alignment vertical="center" wrapText="1"/>
    </xf>
    <xf numFmtId="49" fontId="19" fillId="0" borderId="13" xfId="0" applyNumberFormat="1" applyFont="1" applyBorder="1" applyAlignment="1">
      <alignment vertical="center"/>
    </xf>
    <xf numFmtId="49" fontId="19" fillId="0" borderId="13" xfId="0" applyNumberFormat="1" applyFont="1" applyBorder="1" applyAlignment="1">
      <alignment vertical="center" wrapText="1"/>
    </xf>
    <xf numFmtId="164" fontId="19" fillId="0" borderId="13" xfId="0" applyNumberFormat="1" applyFont="1" applyBorder="1" applyAlignment="1">
      <alignment vertical="center"/>
    </xf>
    <xf numFmtId="165" fontId="19" fillId="0" borderId="13" xfId="0" applyNumberFormat="1" applyFont="1" applyBorder="1" applyAlignment="1">
      <alignment vertical="center" wrapText="1"/>
    </xf>
    <xf numFmtId="164" fontId="19" fillId="0" borderId="29" xfId="0" applyNumberFormat="1" applyFont="1" applyBorder="1" applyAlignment="1">
      <alignment vertical="center" wrapText="1"/>
    </xf>
    <xf numFmtId="165" fontId="16" fillId="2" borderId="102" xfId="0" applyNumberFormat="1" applyFont="1" applyFill="1" applyBorder="1" applyAlignment="1">
      <alignment vertical="center"/>
    </xf>
    <xf numFmtId="166" fontId="17" fillId="0" borderId="124" xfId="0" applyNumberFormat="1" applyFont="1" applyBorder="1" applyAlignment="1">
      <alignment horizontal="center" vertical="center"/>
    </xf>
    <xf numFmtId="9" fontId="17" fillId="0" borderId="125" xfId="2" applyFont="1" applyFill="1" applyBorder="1" applyAlignment="1">
      <alignment horizontal="center" vertical="center"/>
    </xf>
    <xf numFmtId="9" fontId="16" fillId="2" borderId="126" xfId="2" applyFont="1" applyFill="1" applyBorder="1" applyAlignment="1">
      <alignment vertical="center"/>
    </xf>
    <xf numFmtId="9" fontId="23" fillId="2" borderId="126" xfId="2" applyFont="1" applyFill="1" applyBorder="1" applyAlignment="1">
      <alignment horizontal="right" vertical="center"/>
    </xf>
    <xf numFmtId="166" fontId="21" fillId="5" borderId="0" xfId="0" applyNumberFormat="1" applyFont="1" applyFill="1"/>
    <xf numFmtId="166" fontId="22" fillId="5" borderId="0" xfId="0" applyNumberFormat="1" applyFont="1" applyFill="1" applyAlignment="1">
      <alignment horizontal="center"/>
    </xf>
    <xf numFmtId="166" fontId="19" fillId="5" borderId="12" xfId="0" applyNumberFormat="1" applyFont="1" applyFill="1" applyBorder="1"/>
    <xf numFmtId="166" fontId="16" fillId="5" borderId="12" xfId="0" applyNumberFormat="1" applyFont="1" applyFill="1" applyBorder="1"/>
    <xf numFmtId="166" fontId="19" fillId="5" borderId="20" xfId="0" applyNumberFormat="1" applyFont="1" applyFill="1" applyBorder="1"/>
    <xf numFmtId="49" fontId="17" fillId="8" borderId="21" xfId="0" applyNumberFormat="1" applyFont="1" applyFill="1" applyBorder="1"/>
    <xf numFmtId="166" fontId="16" fillId="8" borderId="20" xfId="0" applyNumberFormat="1" applyFont="1" applyFill="1" applyBorder="1"/>
    <xf numFmtId="49" fontId="17" fillId="8" borderId="23" xfId="0" applyNumberFormat="1" applyFont="1" applyFill="1" applyBorder="1"/>
    <xf numFmtId="166" fontId="16" fillId="8" borderId="12" xfId="0" applyNumberFormat="1" applyFont="1" applyFill="1" applyBorder="1"/>
    <xf numFmtId="49" fontId="17" fillId="8" borderId="20" xfId="0" applyNumberFormat="1" applyFont="1" applyFill="1" applyBorder="1"/>
    <xf numFmtId="49" fontId="17" fillId="8" borderId="21" xfId="0" applyNumberFormat="1" applyFont="1" applyFill="1" applyBorder="1" applyAlignment="1">
      <alignment wrapText="1"/>
    </xf>
    <xf numFmtId="166" fontId="19" fillId="5" borderId="71" xfId="0" applyNumberFormat="1" applyFont="1" applyFill="1" applyBorder="1" applyAlignment="1">
      <alignment vertical="center"/>
    </xf>
    <xf numFmtId="9" fontId="23" fillId="0" borderId="70" xfId="2" applyFont="1" applyFill="1" applyBorder="1" applyAlignment="1">
      <alignment horizontal="right" vertical="center"/>
    </xf>
    <xf numFmtId="166" fontId="19" fillId="0" borderId="0" xfId="0" applyNumberFormat="1" applyFont="1" applyAlignment="1">
      <alignment vertical="center"/>
    </xf>
    <xf numFmtId="166" fontId="23" fillId="0" borderId="0" xfId="0" applyNumberFormat="1" applyFont="1" applyAlignment="1">
      <alignment horizontal="right" vertical="center"/>
    </xf>
    <xf numFmtId="166" fontId="19" fillId="0" borderId="86" xfId="0" applyNumberFormat="1" applyFont="1" applyBorder="1"/>
    <xf numFmtId="15" fontId="17" fillId="5" borderId="0" xfId="0" applyNumberFormat="1" applyFont="1" applyFill="1" applyAlignment="1">
      <alignment vertical="center"/>
    </xf>
    <xf numFmtId="166" fontId="19" fillId="5" borderId="61" xfId="0" applyNumberFormat="1" applyFont="1" applyFill="1" applyBorder="1"/>
    <xf numFmtId="166" fontId="19" fillId="5" borderId="57" xfId="0" applyNumberFormat="1" applyFont="1" applyFill="1" applyBorder="1"/>
    <xf numFmtId="166" fontId="19" fillId="0" borderId="127" xfId="0" applyNumberFormat="1" applyFont="1" applyBorder="1"/>
    <xf numFmtId="166" fontId="19" fillId="0" borderId="128" xfId="0" applyNumberFormat="1" applyFont="1" applyBorder="1"/>
    <xf numFmtId="166" fontId="16" fillId="2" borderId="129" xfId="0" applyNumberFormat="1" applyFont="1" applyFill="1" applyBorder="1" applyAlignment="1">
      <alignment vertical="center"/>
    </xf>
    <xf numFmtId="165" fontId="16" fillId="2" borderId="130" xfId="0" applyNumberFormat="1" applyFont="1" applyFill="1" applyBorder="1" applyAlignment="1">
      <alignment vertical="center"/>
    </xf>
    <xf numFmtId="166" fontId="29" fillId="9" borderId="19" xfId="0" applyNumberFormat="1" applyFont="1" applyFill="1" applyBorder="1" applyAlignment="1">
      <alignment vertical="center"/>
    </xf>
    <xf numFmtId="166" fontId="17" fillId="0" borderId="131" xfId="0" applyNumberFormat="1" applyFont="1" applyBorder="1" applyAlignment="1">
      <alignment horizontal="center" vertical="center"/>
    </xf>
    <xf numFmtId="166" fontId="17" fillId="0" borderId="132" xfId="0" applyNumberFormat="1" applyFont="1" applyBorder="1" applyAlignment="1">
      <alignment horizontal="center" vertical="center"/>
    </xf>
    <xf numFmtId="9" fontId="21" fillId="4" borderId="133" xfId="0" applyNumberFormat="1" applyFont="1" applyFill="1" applyBorder="1" applyAlignment="1">
      <alignment horizontal="right" vertical="center"/>
    </xf>
    <xf numFmtId="9" fontId="23" fillId="2" borderId="63" xfId="0" applyNumberFormat="1" applyFont="1" applyFill="1" applyBorder="1" applyAlignment="1">
      <alignment horizontal="right" vertical="center"/>
    </xf>
    <xf numFmtId="166" fontId="16" fillId="2" borderId="102" xfId="0" applyNumberFormat="1" applyFont="1" applyFill="1" applyBorder="1" applyAlignment="1">
      <alignment vertical="center"/>
    </xf>
    <xf numFmtId="166" fontId="16" fillId="5" borderId="111" xfId="0" applyNumberFormat="1" applyFont="1" applyFill="1" applyBorder="1" applyAlignment="1">
      <alignment vertical="center"/>
    </xf>
    <xf numFmtId="9" fontId="16" fillId="2" borderId="92" xfId="0" applyNumberFormat="1" applyFont="1" applyFill="1" applyBorder="1" applyAlignment="1">
      <alignment vertical="center"/>
    </xf>
    <xf numFmtId="166" fontId="17" fillId="4" borderId="52" xfId="0" applyNumberFormat="1" applyFont="1" applyFill="1" applyBorder="1" applyAlignment="1">
      <alignment vertical="center"/>
    </xf>
    <xf numFmtId="166" fontId="16" fillId="2" borderId="63" xfId="0" applyNumberFormat="1" applyFont="1" applyFill="1" applyBorder="1" applyAlignment="1">
      <alignment vertical="center"/>
    </xf>
    <xf numFmtId="165" fontId="16" fillId="2" borderId="92" xfId="0" applyNumberFormat="1" applyFont="1" applyFill="1" applyBorder="1" applyAlignment="1">
      <alignment vertical="center"/>
    </xf>
    <xf numFmtId="9" fontId="23" fillId="2" borderId="63" xfId="2" applyFont="1" applyFill="1" applyBorder="1" applyAlignment="1">
      <alignment horizontal="right" vertical="center"/>
    </xf>
    <xf numFmtId="9" fontId="23" fillId="2" borderId="134" xfId="2" applyFont="1" applyFill="1" applyBorder="1" applyAlignment="1">
      <alignment horizontal="right" vertical="center"/>
    </xf>
    <xf numFmtId="9" fontId="23" fillId="5" borderId="63" xfId="2" applyFont="1" applyFill="1" applyBorder="1" applyAlignment="1">
      <alignment horizontal="right" vertical="center"/>
    </xf>
    <xf numFmtId="166" fontId="16" fillId="2" borderId="92" xfId="0" applyNumberFormat="1" applyFont="1" applyFill="1" applyBorder="1" applyAlignment="1">
      <alignment vertical="center"/>
    </xf>
    <xf numFmtId="9" fontId="16" fillId="5" borderId="48" xfId="0" applyNumberFormat="1" applyFont="1" applyFill="1" applyBorder="1" applyAlignment="1">
      <alignment vertical="center"/>
    </xf>
    <xf numFmtId="9" fontId="23" fillId="5" borderId="63" xfId="0" applyNumberFormat="1" applyFont="1" applyFill="1" applyBorder="1" applyAlignment="1">
      <alignment horizontal="right" vertical="center"/>
    </xf>
    <xf numFmtId="166" fontId="17" fillId="4" borderId="63" xfId="0" applyNumberFormat="1" applyFont="1" applyFill="1" applyBorder="1" applyAlignment="1">
      <alignment vertical="center"/>
    </xf>
    <xf numFmtId="9" fontId="17" fillId="0" borderId="49" xfId="2" applyFont="1" applyFill="1" applyBorder="1" applyAlignment="1">
      <alignment horizontal="center" vertical="center"/>
    </xf>
    <xf numFmtId="9" fontId="16" fillId="2" borderId="56" xfId="2" applyFont="1" applyFill="1" applyBorder="1" applyAlignment="1">
      <alignment vertical="center"/>
    </xf>
    <xf numFmtId="9" fontId="23" fillId="2" borderId="56" xfId="2" applyFont="1" applyFill="1" applyBorder="1" applyAlignment="1">
      <alignment horizontal="right" vertical="center"/>
    </xf>
    <xf numFmtId="9" fontId="23" fillId="2" borderId="65" xfId="2" applyFont="1" applyFill="1" applyBorder="1" applyAlignment="1">
      <alignment horizontal="right" vertical="center"/>
    </xf>
    <xf numFmtId="9" fontId="16" fillId="4" borderId="88" xfId="2" applyFont="1" applyFill="1" applyBorder="1" applyAlignment="1">
      <alignment horizontal="right" vertical="center"/>
    </xf>
    <xf numFmtId="9" fontId="19" fillId="2" borderId="53" xfId="2" applyFont="1" applyFill="1" applyBorder="1" applyAlignment="1">
      <alignment vertical="center"/>
    </xf>
    <xf numFmtId="9" fontId="19" fillId="2" borderId="60" xfId="2" applyFont="1" applyFill="1" applyBorder="1" applyAlignment="1">
      <alignment vertical="center"/>
    </xf>
    <xf numFmtId="9" fontId="16" fillId="2" borderId="88" xfId="2" applyFont="1" applyFill="1" applyBorder="1" applyAlignment="1">
      <alignment vertical="center"/>
    </xf>
    <xf numFmtId="9" fontId="16" fillId="4" borderId="111" xfId="2" applyFont="1" applyFill="1" applyBorder="1" applyAlignment="1">
      <alignment horizontal="right" vertical="center"/>
    </xf>
    <xf numFmtId="9" fontId="16" fillId="2" borderId="53" xfId="2" applyFont="1" applyFill="1" applyBorder="1" applyAlignment="1">
      <alignment vertical="center"/>
    </xf>
    <xf numFmtId="9" fontId="23" fillId="2" borderId="60" xfId="2" applyFont="1" applyFill="1" applyBorder="1" applyAlignment="1">
      <alignment horizontal="right" vertical="center"/>
    </xf>
    <xf numFmtId="9" fontId="23" fillId="2" borderId="88" xfId="2" applyFont="1" applyFill="1" applyBorder="1" applyAlignment="1">
      <alignment horizontal="right" vertical="center"/>
    </xf>
    <xf numFmtId="9" fontId="23" fillId="4" borderId="111" xfId="2" applyFont="1" applyFill="1" applyBorder="1" applyAlignment="1">
      <alignment horizontal="right" vertical="center"/>
    </xf>
    <xf numFmtId="166" fontId="16" fillId="2" borderId="111" xfId="0" applyNumberFormat="1" applyFont="1" applyFill="1" applyBorder="1" applyAlignment="1">
      <alignment vertical="center"/>
    </xf>
    <xf numFmtId="165" fontId="16" fillId="2" borderId="53" xfId="0" applyNumberFormat="1" applyFont="1" applyFill="1" applyBorder="1" applyAlignment="1">
      <alignment vertical="center"/>
    </xf>
    <xf numFmtId="49" fontId="23" fillId="2" borderId="60" xfId="0" applyNumberFormat="1" applyFont="1" applyFill="1" applyBorder="1" applyAlignment="1">
      <alignment horizontal="right" vertical="center"/>
    </xf>
    <xf numFmtId="9" fontId="23" fillId="4" borderId="135" xfId="0" applyNumberFormat="1" applyFont="1" applyFill="1" applyBorder="1" applyAlignment="1">
      <alignment horizontal="right" vertical="center"/>
    </xf>
    <xf numFmtId="164" fontId="19" fillId="2" borderId="136" xfId="0" applyNumberFormat="1" applyFont="1" applyFill="1" applyBorder="1" applyAlignment="1">
      <alignment vertical="center" wrapText="1"/>
    </xf>
    <xf numFmtId="164" fontId="19" fillId="2" borderId="137" xfId="0" applyNumberFormat="1" applyFont="1" applyFill="1" applyBorder="1" applyAlignment="1">
      <alignment vertical="center" wrapText="1"/>
    </xf>
    <xf numFmtId="49" fontId="19" fillId="2" borderId="137" xfId="0" applyNumberFormat="1" applyFont="1" applyFill="1" applyBorder="1" applyAlignment="1">
      <alignment vertical="center" wrapText="1"/>
    </xf>
    <xf numFmtId="165" fontId="19" fillId="2" borderId="137" xfId="0" applyNumberFormat="1" applyFont="1" applyFill="1" applyBorder="1" applyAlignment="1">
      <alignment vertical="center" wrapText="1"/>
    </xf>
    <xf numFmtId="49" fontId="23" fillId="2" borderId="137" xfId="0" applyNumberFormat="1" applyFont="1" applyFill="1" applyBorder="1" applyAlignment="1">
      <alignment horizontal="justify" vertical="center" wrapText="1"/>
    </xf>
    <xf numFmtId="15" fontId="27" fillId="0" borderId="12" xfId="0" applyNumberFormat="1" applyFont="1" applyBorder="1" applyAlignment="1">
      <alignment horizontal="center" vertical="center"/>
    </xf>
    <xf numFmtId="165" fontId="16" fillId="3" borderId="13" xfId="0" applyNumberFormat="1" applyFont="1" applyFill="1" applyBorder="1" applyAlignment="1">
      <alignment vertical="center"/>
    </xf>
    <xf numFmtId="165" fontId="19" fillId="3" borderId="13" xfId="0" applyNumberFormat="1" applyFont="1" applyFill="1" applyBorder="1" applyAlignment="1">
      <alignment vertical="center"/>
    </xf>
    <xf numFmtId="9" fontId="19" fillId="3" borderId="13" xfId="0" applyNumberFormat="1" applyFont="1" applyFill="1" applyBorder="1" applyAlignment="1">
      <alignment vertical="center"/>
    </xf>
    <xf numFmtId="9" fontId="16" fillId="3" borderId="13" xfId="0" applyNumberFormat="1" applyFont="1" applyFill="1" applyBorder="1" applyAlignment="1">
      <alignment vertical="center"/>
    </xf>
    <xf numFmtId="9" fontId="23" fillId="3" borderId="13" xfId="0" applyNumberFormat="1" applyFont="1" applyFill="1" applyBorder="1" applyAlignment="1">
      <alignment horizontal="right" vertical="center"/>
    </xf>
    <xf numFmtId="166" fontId="17" fillId="4" borderId="38" xfId="0" applyNumberFormat="1" applyFont="1" applyFill="1" applyBorder="1" applyAlignment="1">
      <alignment horizontal="center" vertical="center"/>
    </xf>
    <xf numFmtId="166" fontId="16" fillId="2" borderId="38" xfId="0" applyNumberFormat="1" applyFont="1" applyFill="1" applyBorder="1" applyAlignment="1">
      <alignment vertical="center"/>
    </xf>
    <xf numFmtId="166" fontId="19" fillId="5" borderId="79" xfId="0" applyNumberFormat="1" applyFont="1" applyFill="1" applyBorder="1" applyAlignment="1">
      <alignment vertical="center"/>
    </xf>
    <xf numFmtId="166" fontId="16" fillId="5" borderId="93" xfId="0" applyNumberFormat="1" applyFont="1" applyFill="1" applyBorder="1" applyAlignment="1">
      <alignment vertical="center"/>
    </xf>
    <xf numFmtId="166" fontId="16" fillId="5" borderId="79" xfId="0" applyNumberFormat="1" applyFont="1" applyFill="1" applyBorder="1" applyAlignment="1">
      <alignment vertical="center"/>
    </xf>
    <xf numFmtId="166" fontId="16" fillId="5" borderId="91" xfId="0" applyNumberFormat="1" applyFont="1" applyFill="1" applyBorder="1" applyAlignment="1">
      <alignment vertical="center"/>
    </xf>
    <xf numFmtId="166" fontId="16" fillId="5" borderId="92" xfId="0" applyNumberFormat="1" applyFont="1" applyFill="1" applyBorder="1" applyAlignment="1">
      <alignment vertical="center"/>
    </xf>
    <xf numFmtId="166" fontId="17" fillId="4" borderId="138" xfId="0" applyNumberFormat="1" applyFont="1" applyFill="1" applyBorder="1" applyAlignment="1">
      <alignment vertical="center"/>
    </xf>
    <xf numFmtId="164" fontId="26" fillId="3" borderId="12" xfId="0" applyNumberFormat="1" applyFont="1" applyFill="1" applyBorder="1" applyAlignment="1">
      <alignment horizontal="center" vertical="center" wrapText="1"/>
    </xf>
    <xf numFmtId="165" fontId="27" fillId="3" borderId="13" xfId="0" applyNumberFormat="1" applyFont="1" applyFill="1" applyBorder="1" applyAlignment="1">
      <alignment horizontal="center" vertical="center"/>
    </xf>
    <xf numFmtId="15" fontId="27" fillId="3" borderId="13" xfId="0" applyNumberFormat="1" applyFont="1" applyFill="1" applyBorder="1" applyAlignment="1">
      <alignment horizontal="center" vertical="center"/>
    </xf>
    <xf numFmtId="15" fontId="27" fillId="0" borderId="13" xfId="0" applyNumberFormat="1" applyFont="1" applyBorder="1" applyAlignment="1">
      <alignment horizontal="center" vertical="center"/>
    </xf>
    <xf numFmtId="9" fontId="23" fillId="5" borderId="13" xfId="0" applyNumberFormat="1" applyFont="1" applyFill="1" applyBorder="1" applyAlignment="1">
      <alignment horizontal="right" vertical="center"/>
    </xf>
    <xf numFmtId="9" fontId="16" fillId="3" borderId="29" xfId="0" applyNumberFormat="1" applyFont="1" applyFill="1" applyBorder="1" applyAlignment="1">
      <alignment vertical="center"/>
    </xf>
    <xf numFmtId="166" fontId="17" fillId="4" borderId="93" xfId="0" applyNumberFormat="1" applyFont="1" applyFill="1" applyBorder="1" applyAlignment="1">
      <alignment horizontal="center" vertical="center"/>
    </xf>
    <xf numFmtId="171" fontId="16" fillId="2" borderId="73" xfId="0" applyNumberFormat="1" applyFont="1" applyFill="1" applyBorder="1" applyAlignment="1">
      <alignment vertical="center"/>
    </xf>
    <xf numFmtId="166" fontId="36" fillId="2" borderId="13" xfId="0" applyNumberFormat="1" applyFont="1" applyFill="1" applyBorder="1"/>
    <xf numFmtId="166" fontId="36" fillId="2" borderId="13" xfId="1" applyNumberFormat="1" applyFont="1" applyFill="1" applyBorder="1" applyAlignment="1"/>
    <xf numFmtId="2" fontId="19" fillId="2" borderId="58" xfId="0" applyNumberFormat="1" applyFont="1" applyFill="1" applyBorder="1" applyAlignment="1">
      <alignment horizontal="left" vertical="center" indent="6"/>
    </xf>
    <xf numFmtId="2" fontId="19" fillId="2" borderId="59" xfId="0" applyNumberFormat="1" applyFont="1" applyFill="1" applyBorder="1" applyAlignment="1">
      <alignment horizontal="left" vertical="center" indent="6"/>
    </xf>
    <xf numFmtId="2" fontId="19" fillId="0" borderId="59" xfId="0" applyNumberFormat="1" applyFont="1" applyBorder="1" applyAlignment="1">
      <alignment horizontal="left" vertical="center" indent="6"/>
    </xf>
    <xf numFmtId="2" fontId="19" fillId="2" borderId="55" xfId="0" applyNumberFormat="1" applyFont="1" applyFill="1" applyBorder="1" applyAlignment="1">
      <alignment vertical="center"/>
    </xf>
    <xf numFmtId="2" fontId="17" fillId="4" borderId="67" xfId="0" applyNumberFormat="1" applyFont="1" applyFill="1" applyBorder="1" applyAlignment="1">
      <alignment vertical="center"/>
    </xf>
    <xf numFmtId="2" fontId="17" fillId="4" borderId="66" xfId="0" applyNumberFormat="1" applyFont="1" applyFill="1" applyBorder="1" applyAlignment="1">
      <alignment vertical="center"/>
    </xf>
    <xf numFmtId="2" fontId="19" fillId="2" borderId="58" xfId="0" applyNumberFormat="1" applyFont="1" applyFill="1" applyBorder="1" applyAlignment="1">
      <alignment vertical="center"/>
    </xf>
    <xf numFmtId="2" fontId="19" fillId="2" borderId="59" xfId="0" applyNumberFormat="1" applyFont="1" applyFill="1" applyBorder="1" applyAlignment="1">
      <alignment vertical="center"/>
    </xf>
    <xf numFmtId="2" fontId="19" fillId="5" borderId="51" xfId="0" applyNumberFormat="1" applyFont="1" applyFill="1" applyBorder="1" applyAlignment="1">
      <alignment vertical="center"/>
    </xf>
    <xf numFmtId="2" fontId="19" fillId="5" borderId="52" xfId="0" applyNumberFormat="1" applyFont="1" applyFill="1" applyBorder="1" applyAlignment="1">
      <alignment vertical="center"/>
    </xf>
    <xf numFmtId="2" fontId="19" fillId="5" borderId="58" xfId="0" applyNumberFormat="1" applyFont="1" applyFill="1" applyBorder="1" applyAlignment="1">
      <alignment vertical="center"/>
    </xf>
    <xf numFmtId="2" fontId="19" fillId="5" borderId="59" xfId="0" applyNumberFormat="1" applyFont="1" applyFill="1" applyBorder="1" applyAlignment="1">
      <alignment vertical="center"/>
    </xf>
    <xf numFmtId="2" fontId="16" fillId="5" borderId="66" xfId="0" applyNumberFormat="1" applyFont="1" applyFill="1" applyBorder="1" applyAlignment="1">
      <alignment vertical="center"/>
    </xf>
    <xf numFmtId="2" fontId="16" fillId="5" borderId="67" xfId="0" applyNumberFormat="1" applyFont="1" applyFill="1" applyBorder="1" applyAlignment="1">
      <alignment vertical="center"/>
    </xf>
    <xf numFmtId="2" fontId="17" fillId="4" borderId="71" xfId="0" applyNumberFormat="1" applyFont="1" applyFill="1" applyBorder="1" applyAlignment="1">
      <alignment vertical="center"/>
    </xf>
    <xf numFmtId="2" fontId="17" fillId="4" borderId="72" xfId="0" applyNumberFormat="1" applyFont="1" applyFill="1" applyBorder="1" applyAlignment="1">
      <alignment vertical="center"/>
    </xf>
    <xf numFmtId="2" fontId="16" fillId="5" borderId="51" xfId="0" applyNumberFormat="1" applyFont="1" applyFill="1" applyBorder="1" applyAlignment="1">
      <alignment vertical="center"/>
    </xf>
    <xf numFmtId="2" fontId="16" fillId="5" borderId="52" xfId="0" applyNumberFormat="1" applyFont="1" applyFill="1" applyBorder="1" applyAlignment="1">
      <alignment vertical="center"/>
    </xf>
    <xf numFmtId="2" fontId="19" fillId="5" borderId="66" xfId="0" applyNumberFormat="1" applyFont="1" applyFill="1" applyBorder="1" applyAlignment="1">
      <alignment vertical="center"/>
    </xf>
    <xf numFmtId="2" fontId="19" fillId="5" borderId="67" xfId="0" applyNumberFormat="1" applyFont="1" applyFill="1" applyBorder="1" applyAlignment="1">
      <alignment vertical="center"/>
    </xf>
    <xf numFmtId="2" fontId="16" fillId="5" borderId="58" xfId="0" applyNumberFormat="1" applyFont="1" applyFill="1" applyBorder="1" applyAlignment="1">
      <alignment vertical="center"/>
    </xf>
    <xf numFmtId="2" fontId="16" fillId="5" borderId="59" xfId="0" applyNumberFormat="1" applyFont="1" applyFill="1" applyBorder="1" applyAlignment="1">
      <alignment vertical="center"/>
    </xf>
    <xf numFmtId="2" fontId="16" fillId="5" borderId="71" xfId="0" applyNumberFormat="1" applyFont="1" applyFill="1" applyBorder="1" applyAlignment="1">
      <alignment vertical="center"/>
    </xf>
    <xf numFmtId="2" fontId="16" fillId="5" borderId="72" xfId="0" applyNumberFormat="1" applyFont="1" applyFill="1" applyBorder="1" applyAlignment="1">
      <alignment vertical="center"/>
    </xf>
    <xf numFmtId="2" fontId="16" fillId="2" borderId="72" xfId="0" applyNumberFormat="1" applyFont="1" applyFill="1" applyBorder="1" applyAlignment="1">
      <alignment vertical="center"/>
    </xf>
    <xf numFmtId="2" fontId="16" fillId="2" borderId="71" xfId="0" applyNumberFormat="1" applyFont="1" applyFill="1" applyBorder="1" applyAlignment="1">
      <alignment vertical="center"/>
    </xf>
    <xf numFmtId="2" fontId="17" fillId="4" borderId="74" xfId="0" applyNumberFormat="1" applyFont="1" applyFill="1" applyBorder="1" applyAlignment="1">
      <alignment vertical="center"/>
    </xf>
    <xf numFmtId="2" fontId="17" fillId="4" borderId="75" xfId="0" applyNumberFormat="1" applyFont="1" applyFill="1" applyBorder="1" applyAlignment="1">
      <alignment vertical="center"/>
    </xf>
    <xf numFmtId="2" fontId="16" fillId="2" borderId="66" xfId="0" applyNumberFormat="1" applyFont="1" applyFill="1" applyBorder="1" applyAlignment="1">
      <alignment vertical="center"/>
    </xf>
    <xf numFmtId="2" fontId="16" fillId="2" borderId="67" xfId="0" applyNumberFormat="1" applyFont="1" applyFill="1" applyBorder="1" applyAlignment="1">
      <alignment vertical="center"/>
    </xf>
    <xf numFmtId="2" fontId="16" fillId="2" borderId="51" xfId="0" applyNumberFormat="1" applyFont="1" applyFill="1" applyBorder="1" applyAlignment="1">
      <alignment vertical="center"/>
    </xf>
    <xf numFmtId="2" fontId="16" fillId="2" borderId="52" xfId="0" applyNumberFormat="1" applyFont="1" applyFill="1" applyBorder="1" applyAlignment="1">
      <alignment vertical="center"/>
    </xf>
    <xf numFmtId="2" fontId="19" fillId="2" borderId="66" xfId="0" applyNumberFormat="1" applyFont="1" applyFill="1" applyBorder="1" applyAlignment="1">
      <alignment vertical="center"/>
    </xf>
    <xf numFmtId="2" fontId="19" fillId="2" borderId="67" xfId="0" applyNumberFormat="1" applyFont="1" applyFill="1" applyBorder="1" applyAlignment="1">
      <alignment vertical="center"/>
    </xf>
    <xf numFmtId="2" fontId="19" fillId="2" borderId="51" xfId="0" applyNumberFormat="1" applyFont="1" applyFill="1" applyBorder="1" applyAlignment="1">
      <alignment vertical="center"/>
    </xf>
    <xf numFmtId="2" fontId="19" fillId="2" borderId="52" xfId="0" applyNumberFormat="1" applyFont="1" applyFill="1" applyBorder="1" applyAlignment="1">
      <alignment vertical="center"/>
    </xf>
    <xf numFmtId="2" fontId="16" fillId="2" borderId="58" xfId="0" applyNumberFormat="1" applyFont="1" applyFill="1" applyBorder="1" applyAlignment="1">
      <alignment vertical="center"/>
    </xf>
    <xf numFmtId="2" fontId="16" fillId="2" borderId="59" xfId="0" applyNumberFormat="1" applyFont="1" applyFill="1" applyBorder="1" applyAlignment="1">
      <alignment vertical="center"/>
    </xf>
    <xf numFmtId="2" fontId="19" fillId="0" borderId="59" xfId="0" applyNumberFormat="1" applyFont="1" applyBorder="1" applyAlignment="1">
      <alignment vertical="center"/>
    </xf>
    <xf numFmtId="2" fontId="19" fillId="2" borderId="61" xfId="0" applyNumberFormat="1" applyFont="1" applyFill="1" applyBorder="1" applyAlignment="1">
      <alignment vertical="center"/>
    </xf>
    <xf numFmtId="2" fontId="19" fillId="2" borderId="71" xfId="0" applyNumberFormat="1" applyFont="1" applyFill="1" applyBorder="1" applyAlignment="1">
      <alignment vertical="center"/>
    </xf>
    <xf numFmtId="2" fontId="19" fillId="2" borderId="72" xfId="0" applyNumberFormat="1" applyFont="1" applyFill="1" applyBorder="1" applyAlignment="1">
      <alignment vertical="center"/>
    </xf>
    <xf numFmtId="2" fontId="16" fillId="4" borderId="74" xfId="0" applyNumberFormat="1" applyFont="1" applyFill="1" applyBorder="1" applyAlignment="1">
      <alignment vertical="center"/>
    </xf>
    <xf numFmtId="9" fontId="16" fillId="5" borderId="71" xfId="0" applyNumberFormat="1" applyFont="1" applyFill="1" applyBorder="1" applyAlignment="1">
      <alignment vertical="center"/>
    </xf>
    <xf numFmtId="2" fontId="23" fillId="2" borderId="13" xfId="0" applyNumberFormat="1" applyFont="1" applyFill="1" applyBorder="1"/>
    <xf numFmtId="2" fontId="23" fillId="2" borderId="26" xfId="0" applyNumberFormat="1" applyFont="1" applyFill="1" applyBorder="1"/>
    <xf numFmtId="2" fontId="23" fillId="2" borderId="0" xfId="0" applyNumberFormat="1" applyFont="1" applyFill="1"/>
    <xf numFmtId="2" fontId="23" fillId="2" borderId="16" xfId="0" applyNumberFormat="1" applyFont="1" applyFill="1" applyBorder="1"/>
    <xf numFmtId="2" fontId="23" fillId="2" borderId="78" xfId="0" applyNumberFormat="1" applyFont="1" applyFill="1" applyBorder="1"/>
    <xf numFmtId="2" fontId="16" fillId="4" borderId="35" xfId="0" applyNumberFormat="1" applyFont="1" applyFill="1" applyBorder="1"/>
    <xf numFmtId="2" fontId="23" fillId="2" borderId="17" xfId="0" applyNumberFormat="1" applyFont="1" applyFill="1" applyBorder="1"/>
    <xf numFmtId="2" fontId="23" fillId="2" borderId="38" xfId="0" applyNumberFormat="1" applyFont="1" applyFill="1" applyBorder="1"/>
    <xf numFmtId="2" fontId="19" fillId="2" borderId="13" xfId="0" applyNumberFormat="1" applyFont="1" applyFill="1" applyBorder="1"/>
    <xf numFmtId="2" fontId="19" fillId="2" borderId="0" xfId="0" applyNumberFormat="1" applyFont="1" applyFill="1"/>
    <xf numFmtId="2" fontId="19" fillId="2" borderId="26" xfId="0" applyNumberFormat="1" applyFont="1" applyFill="1" applyBorder="1"/>
    <xf numFmtId="2" fontId="19" fillId="2" borderId="16" xfId="0" applyNumberFormat="1" applyFont="1" applyFill="1" applyBorder="1"/>
    <xf numFmtId="2" fontId="19" fillId="2" borderId="78" xfId="0" applyNumberFormat="1" applyFont="1" applyFill="1" applyBorder="1"/>
    <xf numFmtId="2" fontId="19" fillId="2" borderId="33" xfId="0" applyNumberFormat="1" applyFont="1" applyFill="1" applyBorder="1"/>
    <xf numFmtId="2" fontId="16" fillId="2" borderId="17" xfId="0" applyNumberFormat="1" applyFont="1" applyFill="1" applyBorder="1"/>
    <xf numFmtId="2" fontId="16" fillId="2" borderId="38" xfId="0" applyNumberFormat="1" applyFont="1" applyFill="1" applyBorder="1"/>
    <xf numFmtId="2" fontId="19" fillId="2" borderId="17" xfId="0" applyNumberFormat="1" applyFont="1" applyFill="1" applyBorder="1"/>
    <xf numFmtId="2" fontId="19" fillId="2" borderId="38" xfId="0" applyNumberFormat="1" applyFont="1" applyFill="1" applyBorder="1"/>
    <xf numFmtId="2" fontId="19" fillId="5" borderId="33" xfId="0" applyNumberFormat="1" applyFont="1" applyFill="1" applyBorder="1"/>
    <xf numFmtId="2" fontId="19" fillId="5" borderId="16" xfId="0" applyNumberFormat="1" applyFont="1" applyFill="1" applyBorder="1"/>
    <xf numFmtId="2" fontId="19" fillId="2" borderId="35" xfId="0" applyNumberFormat="1" applyFont="1" applyFill="1" applyBorder="1"/>
    <xf numFmtId="2" fontId="19" fillId="2" borderId="36" xfId="0" applyNumberFormat="1" applyFont="1" applyFill="1" applyBorder="1"/>
    <xf numFmtId="2" fontId="16" fillId="3" borderId="40" xfId="0" applyNumberFormat="1" applyFont="1" applyFill="1" applyBorder="1"/>
    <xf numFmtId="169" fontId="17" fillId="0" borderId="0" xfId="0" applyNumberFormat="1" applyFont="1" applyAlignment="1">
      <alignment horizontal="center"/>
    </xf>
    <xf numFmtId="169" fontId="17" fillId="4" borderId="29" xfId="0" applyNumberFormat="1" applyFont="1" applyFill="1" applyBorder="1" applyAlignment="1">
      <alignment horizontal="center"/>
    </xf>
    <xf numFmtId="166" fontId="17" fillId="8" borderId="20" xfId="0" applyNumberFormat="1" applyFont="1" applyFill="1" applyBorder="1"/>
    <xf numFmtId="166" fontId="17" fillId="8" borderId="12" xfId="0" applyNumberFormat="1" applyFont="1" applyFill="1" applyBorder="1"/>
    <xf numFmtId="166" fontId="21" fillId="2" borderId="13" xfId="0" applyNumberFormat="1" applyFont="1" applyFill="1" applyBorder="1"/>
    <xf numFmtId="168" fontId="21" fillId="5" borderId="0" xfId="0" applyNumberFormat="1" applyFont="1" applyFill="1"/>
    <xf numFmtId="169" fontId="21" fillId="2" borderId="12" xfId="0" applyNumberFormat="1" applyFont="1" applyFill="1" applyBorder="1"/>
    <xf numFmtId="166" fontId="21" fillId="2" borderId="12" xfId="0" applyNumberFormat="1" applyFont="1" applyFill="1" applyBorder="1"/>
    <xf numFmtId="166" fontId="21" fillId="2" borderId="23" xfId="0" applyNumberFormat="1" applyFont="1" applyFill="1" applyBorder="1"/>
    <xf numFmtId="168" fontId="21" fillId="5" borderId="12" xfId="0" applyNumberFormat="1" applyFont="1" applyFill="1" applyBorder="1"/>
    <xf numFmtId="166" fontId="21" fillId="2" borderId="25" xfId="0" applyNumberFormat="1" applyFont="1" applyFill="1" applyBorder="1"/>
    <xf numFmtId="169" fontId="21" fillId="2" borderId="13" xfId="0" applyNumberFormat="1" applyFont="1" applyFill="1" applyBorder="1"/>
    <xf numFmtId="166" fontId="21" fillId="2" borderId="19" xfId="0" applyNumberFormat="1" applyFont="1" applyFill="1" applyBorder="1"/>
    <xf numFmtId="168" fontId="21" fillId="5" borderId="13" xfId="0" applyNumberFormat="1" applyFont="1" applyFill="1" applyBorder="1"/>
    <xf numFmtId="166" fontId="17" fillId="2" borderId="12" xfId="0" applyNumberFormat="1" applyFont="1" applyFill="1" applyBorder="1"/>
    <xf numFmtId="168" fontId="21" fillId="5" borderId="24" xfId="0" applyNumberFormat="1" applyFont="1" applyFill="1" applyBorder="1"/>
    <xf numFmtId="169" fontId="21" fillId="0" borderId="29" xfId="0" applyNumberFormat="1" applyFont="1" applyBorder="1"/>
    <xf numFmtId="166" fontId="21" fillId="2" borderId="29" xfId="0" applyNumberFormat="1" applyFont="1" applyFill="1" applyBorder="1"/>
    <xf numFmtId="168" fontId="21" fillId="5" borderId="28" xfId="0" applyNumberFormat="1" applyFont="1" applyFill="1" applyBorder="1"/>
    <xf numFmtId="169" fontId="21" fillId="0" borderId="12" xfId="0" applyNumberFormat="1" applyFont="1" applyBorder="1"/>
    <xf numFmtId="166" fontId="21" fillId="0" borderId="12" xfId="0" applyNumberFormat="1" applyFont="1" applyBorder="1"/>
    <xf numFmtId="169" fontId="21" fillId="2" borderId="29" xfId="0" applyNumberFormat="1" applyFont="1" applyFill="1" applyBorder="1"/>
    <xf numFmtId="168" fontId="21" fillId="0" borderId="28" xfId="0" applyNumberFormat="1" applyFont="1" applyBorder="1"/>
    <xf numFmtId="168" fontId="21" fillId="0" borderId="24" xfId="0" applyNumberFormat="1" applyFont="1" applyBorder="1"/>
    <xf numFmtId="169" fontId="21" fillId="2" borderId="20" xfId="0" applyNumberFormat="1" applyFont="1" applyFill="1" applyBorder="1"/>
    <xf numFmtId="168" fontId="21" fillId="0" borderId="22" xfId="0" applyNumberFormat="1" applyFont="1" applyBorder="1"/>
    <xf numFmtId="169" fontId="21" fillId="0" borderId="0" xfId="0" applyNumberFormat="1" applyFont="1"/>
    <xf numFmtId="2" fontId="19" fillId="5" borderId="0" xfId="0" applyNumberFormat="1" applyFont="1" applyFill="1"/>
    <xf numFmtId="2" fontId="17" fillId="8" borderId="12" xfId="0" applyNumberFormat="1" applyFont="1" applyFill="1" applyBorder="1"/>
    <xf numFmtId="2" fontId="21" fillId="5" borderId="13" xfId="0" applyNumberFormat="1" applyFont="1" applyFill="1" applyBorder="1"/>
    <xf numFmtId="2" fontId="17" fillId="8" borderId="20" xfId="0" applyNumberFormat="1" applyFont="1" applyFill="1" applyBorder="1"/>
    <xf numFmtId="2" fontId="23" fillId="5" borderId="13" xfId="0" applyNumberFormat="1" applyFont="1" applyFill="1" applyBorder="1"/>
    <xf numFmtId="2" fontId="16" fillId="8" borderId="20" xfId="0" applyNumberFormat="1" applyFont="1" applyFill="1" applyBorder="1"/>
    <xf numFmtId="2" fontId="21" fillId="5" borderId="0" xfId="0" applyNumberFormat="1" applyFont="1" applyFill="1"/>
    <xf numFmtId="43" fontId="19" fillId="2" borderId="13" xfId="1" applyFont="1" applyFill="1" applyBorder="1" applyAlignment="1">
      <alignment vertical="center"/>
    </xf>
    <xf numFmtId="165" fontId="19" fillId="2" borderId="13" xfId="0" applyNumberFormat="1" applyFont="1" applyFill="1" applyBorder="1" applyAlignment="1">
      <alignment vertical="center"/>
    </xf>
    <xf numFmtId="164" fontId="19" fillId="2" borderId="29" xfId="0" applyNumberFormat="1" applyFont="1" applyFill="1" applyBorder="1" applyAlignment="1">
      <alignment vertical="center"/>
    </xf>
    <xf numFmtId="166" fontId="19" fillId="0" borderId="61" xfId="0" applyNumberFormat="1" applyFont="1" applyBorder="1" applyAlignment="1">
      <alignment vertical="center"/>
    </xf>
    <xf numFmtId="166" fontId="36" fillId="2" borderId="0" xfId="0" applyNumberFormat="1" applyFont="1" applyFill="1"/>
    <xf numFmtId="166" fontId="36" fillId="2" borderId="16" xfId="0" applyNumberFormat="1" applyFont="1" applyFill="1" applyBorder="1"/>
    <xf numFmtId="166" fontId="36" fillId="2" borderId="33" xfId="0" applyNumberFormat="1" applyFont="1" applyFill="1" applyBorder="1"/>
    <xf numFmtId="49" fontId="23" fillId="2" borderId="13" xfId="0" applyNumberFormat="1" applyFont="1" applyFill="1" applyBorder="1" applyAlignment="1">
      <alignment horizontal="justify" vertical="center"/>
    </xf>
    <xf numFmtId="166" fontId="1" fillId="4" borderId="35" xfId="0" applyNumberFormat="1" applyFont="1" applyFill="1" applyBorder="1"/>
    <xf numFmtId="166" fontId="1" fillId="4" borderId="36" xfId="0" applyNumberFormat="1" applyFont="1" applyFill="1" applyBorder="1"/>
    <xf numFmtId="166" fontId="36" fillId="2" borderId="17" xfId="0" applyNumberFormat="1" applyFont="1" applyFill="1" applyBorder="1"/>
    <xf numFmtId="166" fontId="36" fillId="2" borderId="38" xfId="0" applyNumberFormat="1" applyFont="1" applyFill="1" applyBorder="1"/>
    <xf numFmtId="166" fontId="1" fillId="2" borderId="17" xfId="0" applyNumberFormat="1" applyFont="1" applyFill="1" applyBorder="1"/>
    <xf numFmtId="166" fontId="1" fillId="2" borderId="38" xfId="0" applyNumberFormat="1" applyFont="1" applyFill="1" applyBorder="1"/>
    <xf numFmtId="166" fontId="1" fillId="4" borderId="38" xfId="0" applyNumberFormat="1" applyFont="1" applyFill="1" applyBorder="1"/>
    <xf numFmtId="166" fontId="36" fillId="2" borderId="26" xfId="0" applyNumberFormat="1" applyFont="1" applyFill="1" applyBorder="1"/>
    <xf numFmtId="166" fontId="1" fillId="4" borderId="115" xfId="0" applyNumberFormat="1" applyFont="1" applyFill="1" applyBorder="1"/>
    <xf numFmtId="166" fontId="1" fillId="3" borderId="40" xfId="0" applyNumberFormat="1" applyFont="1" applyFill="1" applyBorder="1"/>
    <xf numFmtId="166" fontId="1" fillId="3" borderId="41" xfId="0" applyNumberFormat="1" applyFont="1" applyFill="1" applyBorder="1"/>
    <xf numFmtId="169" fontId="36" fillId="2" borderId="17" xfId="0" applyNumberFormat="1" applyFont="1" applyFill="1" applyBorder="1"/>
    <xf numFmtId="169" fontId="36" fillId="2" borderId="38" xfId="0" applyNumberFormat="1" applyFont="1" applyFill="1" applyBorder="1"/>
    <xf numFmtId="169" fontId="36" fillId="2" borderId="13" xfId="0" applyNumberFormat="1" applyFont="1" applyFill="1" applyBorder="1"/>
    <xf numFmtId="169" fontId="36" fillId="2" borderId="0" xfId="0" applyNumberFormat="1" applyFont="1" applyFill="1"/>
    <xf numFmtId="4" fontId="36" fillId="2" borderId="13" xfId="0" applyNumberFormat="1" applyFont="1" applyFill="1" applyBorder="1"/>
    <xf numFmtId="169" fontId="19" fillId="2" borderId="13" xfId="0" applyNumberFormat="1" applyFont="1" applyFill="1" applyBorder="1"/>
    <xf numFmtId="169" fontId="19" fillId="2" borderId="0" xfId="0" applyNumberFormat="1" applyFont="1" applyFill="1"/>
    <xf numFmtId="169" fontId="1" fillId="2" borderId="17" xfId="0" applyNumberFormat="1" applyFont="1" applyFill="1" applyBorder="1"/>
    <xf numFmtId="169" fontId="1" fillId="2" borderId="38" xfId="0" applyNumberFormat="1" applyFont="1" applyFill="1" applyBorder="1"/>
    <xf numFmtId="169" fontId="19" fillId="2" borderId="16" xfId="0" applyNumberFormat="1" applyFont="1" applyFill="1" applyBorder="1"/>
    <xf numFmtId="169" fontId="19" fillId="2" borderId="33" xfId="0" applyNumberFormat="1" applyFont="1" applyFill="1" applyBorder="1"/>
    <xf numFmtId="169" fontId="19" fillId="2" borderId="17" xfId="0" applyNumberFormat="1" applyFont="1" applyFill="1" applyBorder="1"/>
    <xf numFmtId="169" fontId="19" fillId="2" borderId="38" xfId="0" applyNumberFormat="1" applyFont="1" applyFill="1" applyBorder="1"/>
    <xf numFmtId="166" fontId="19" fillId="0" borderId="13" xfId="0" applyNumberFormat="1" applyFont="1" applyBorder="1"/>
    <xf numFmtId="166" fontId="1" fillId="4" borderId="40" xfId="0" applyNumberFormat="1" applyFont="1" applyFill="1" applyBorder="1"/>
    <xf numFmtId="166" fontId="1" fillId="4" borderId="41" xfId="0" applyNumberFormat="1" applyFont="1" applyFill="1" applyBorder="1"/>
    <xf numFmtId="166" fontId="19" fillId="0" borderId="118" xfId="0" applyNumberFormat="1" applyFont="1" applyBorder="1" applyAlignment="1">
      <alignment horizontal="right"/>
    </xf>
    <xf numFmtId="166" fontId="1" fillId="4" borderId="16" xfId="0" applyNumberFormat="1" applyFont="1" applyFill="1" applyBorder="1"/>
    <xf numFmtId="3" fontId="17" fillId="4" borderId="0" xfId="0" applyNumberFormat="1" applyFont="1" applyFill="1" applyAlignment="1">
      <alignment horizontal="center" vertical="center" wrapText="1"/>
    </xf>
    <xf numFmtId="164" fontId="17" fillId="4" borderId="9" xfId="0" applyNumberFormat="1" applyFont="1" applyFill="1" applyBorder="1" applyAlignment="1">
      <alignment horizontal="center" vertical="center"/>
    </xf>
    <xf numFmtId="3" fontId="17" fillId="4" borderId="13" xfId="0" applyNumberFormat="1" applyFont="1" applyFill="1" applyBorder="1" applyAlignment="1">
      <alignment horizontal="center" vertical="center" wrapText="1"/>
    </xf>
    <xf numFmtId="164" fontId="0" fillId="2" borderId="54" xfId="0" applyNumberFormat="1" applyFill="1" applyBorder="1" applyAlignment="1">
      <alignment vertical="center" wrapText="1"/>
    </xf>
    <xf numFmtId="164" fontId="0" fillId="0" borderId="54" xfId="0" applyNumberFormat="1" applyBorder="1" applyAlignment="1">
      <alignment vertical="center" wrapText="1"/>
    </xf>
    <xf numFmtId="49" fontId="3" fillId="0" borderId="54" xfId="0" applyNumberFormat="1" applyFont="1" applyBorder="1" applyAlignment="1">
      <alignment horizontal="justify" vertical="center" wrapText="1"/>
    </xf>
    <xf numFmtId="49" fontId="0" fillId="0" borderId="54" xfId="0" applyNumberFormat="1" applyBorder="1" applyAlignment="1">
      <alignment vertical="center" wrapText="1"/>
    </xf>
    <xf numFmtId="49" fontId="17" fillId="5" borderId="4" xfId="0" applyNumberFormat="1" applyFont="1" applyFill="1" applyBorder="1" applyAlignment="1">
      <alignment horizontal="center" vertical="center"/>
    </xf>
    <xf numFmtId="49" fontId="16" fillId="5" borderId="1" xfId="0" applyNumberFormat="1" applyFont="1" applyFill="1" applyBorder="1" applyAlignment="1">
      <alignment horizontal="center" vertical="center"/>
    </xf>
    <xf numFmtId="49" fontId="17" fillId="7" borderId="4" xfId="0" applyNumberFormat="1" applyFont="1" applyFill="1" applyBorder="1" applyAlignment="1">
      <alignment horizontal="center" vertical="center"/>
    </xf>
    <xf numFmtId="49" fontId="17" fillId="7" borderId="0" xfId="0" applyNumberFormat="1" applyFont="1" applyFill="1" applyAlignment="1">
      <alignment horizontal="center" vertical="center"/>
    </xf>
    <xf numFmtId="49" fontId="16" fillId="5" borderId="4" xfId="0" applyNumberFormat="1" applyFont="1" applyFill="1" applyBorder="1" applyAlignment="1">
      <alignment horizontal="center" vertical="center"/>
    </xf>
    <xf numFmtId="49" fontId="16" fillId="5" borderId="0" xfId="0" applyNumberFormat="1" applyFont="1" applyFill="1" applyAlignment="1">
      <alignment horizontal="center" vertical="center"/>
    </xf>
    <xf numFmtId="15" fontId="17" fillId="5" borderId="0" xfId="0" applyNumberFormat="1" applyFont="1" applyFill="1" applyAlignment="1">
      <alignment horizontal="center" vertical="center"/>
    </xf>
    <xf numFmtId="15" fontId="17" fillId="7" borderId="0" xfId="0" applyNumberFormat="1" applyFont="1" applyFill="1" applyAlignment="1">
      <alignment horizontal="center" vertical="center"/>
    </xf>
    <xf numFmtId="164" fontId="19" fillId="2" borderId="0" xfId="0" applyNumberFormat="1" applyFont="1" applyFill="1" applyAlignment="1">
      <alignment horizontal="center" vertical="center"/>
    </xf>
    <xf numFmtId="166" fontId="19" fillId="2" borderId="0" xfId="0" applyNumberFormat="1" applyFont="1" applyFill="1" applyAlignment="1">
      <alignment horizontal="center" vertical="center"/>
    </xf>
    <xf numFmtId="166" fontId="25" fillId="2" borderId="0" xfId="0" applyNumberFormat="1" applyFont="1" applyFill="1" applyAlignment="1">
      <alignment horizontal="center" vertical="center"/>
    </xf>
    <xf numFmtId="164" fontId="19" fillId="5" borderId="4" xfId="0" applyNumberFormat="1" applyFont="1" applyFill="1" applyBorder="1" applyAlignment="1">
      <alignment horizontal="center" vertical="center"/>
    </xf>
    <xf numFmtId="164" fontId="19" fillId="2" borderId="7" xfId="0" applyNumberFormat="1" applyFont="1" applyFill="1" applyBorder="1" applyAlignment="1">
      <alignment horizontal="center" vertical="center"/>
    </xf>
    <xf numFmtId="9" fontId="16" fillId="5" borderId="0" xfId="0" applyNumberFormat="1" applyFont="1" applyFill="1" applyAlignment="1">
      <alignment horizontal="center" vertical="center"/>
    </xf>
    <xf numFmtId="169" fontId="25" fillId="2" borderId="0" xfId="0" applyNumberFormat="1" applyFont="1" applyFill="1" applyAlignment="1">
      <alignment horizontal="center" vertical="center"/>
    </xf>
    <xf numFmtId="169" fontId="19" fillId="2" borderId="0" xfId="0" applyNumberFormat="1" applyFont="1" applyFill="1" applyAlignment="1">
      <alignment horizontal="center" vertical="center"/>
    </xf>
    <xf numFmtId="9" fontId="19" fillId="2" borderId="0" xfId="0" applyNumberFormat="1" applyFont="1" applyFill="1" applyAlignment="1">
      <alignment horizontal="center" vertical="center"/>
    </xf>
    <xf numFmtId="168" fontId="17" fillId="0" borderId="0" xfId="0" applyNumberFormat="1" applyFont="1" applyAlignment="1">
      <alignment vertical="center"/>
    </xf>
    <xf numFmtId="164" fontId="0" fillId="2" borderId="137" xfId="0" applyNumberFormat="1" applyFill="1" applyBorder="1" applyAlignment="1">
      <alignment vertical="center" wrapText="1"/>
    </xf>
    <xf numFmtId="49" fontId="0" fillId="2" borderId="137" xfId="0" applyNumberFormat="1" applyFill="1" applyBorder="1" applyAlignment="1">
      <alignment vertical="center" wrapText="1"/>
    </xf>
    <xf numFmtId="164" fontId="0" fillId="0" borderId="137" xfId="0" applyNumberFormat="1" applyBorder="1" applyAlignment="1">
      <alignment vertical="center" wrapText="1"/>
    </xf>
    <xf numFmtId="49" fontId="0" fillId="0" borderId="137" xfId="0" applyNumberFormat="1" applyBorder="1" applyAlignment="1">
      <alignment vertical="center" wrapText="1"/>
    </xf>
    <xf numFmtId="2" fontId="17" fillId="3" borderId="22" xfId="2" applyNumberFormat="1" applyFont="1" applyFill="1" applyBorder="1" applyAlignment="1"/>
    <xf numFmtId="166" fontId="17" fillId="3" borderId="22" xfId="2" applyNumberFormat="1" applyFont="1" applyFill="1" applyBorder="1" applyAlignment="1"/>
    <xf numFmtId="2" fontId="17" fillId="4" borderId="18" xfId="0" applyNumberFormat="1" applyFont="1" applyFill="1" applyBorder="1" applyAlignment="1">
      <alignment horizontal="center" vertical="center" wrapText="1"/>
    </xf>
    <xf numFmtId="2" fontId="17" fillId="4" borderId="12" xfId="0" applyNumberFormat="1" applyFont="1" applyFill="1" applyBorder="1" applyAlignment="1">
      <alignment horizontal="center" vertical="center" wrapText="1"/>
    </xf>
    <xf numFmtId="2" fontId="17" fillId="4" borderId="0" xfId="0" applyNumberFormat="1" applyFont="1" applyFill="1" applyAlignment="1">
      <alignment horizontal="center"/>
    </xf>
    <xf numFmtId="2" fontId="17" fillId="4" borderId="13" xfId="0" applyNumberFormat="1" applyFont="1" applyFill="1" applyBorder="1" applyAlignment="1">
      <alignment horizontal="center"/>
    </xf>
    <xf numFmtId="2" fontId="17" fillId="4" borderId="7" xfId="0" applyNumberFormat="1" applyFont="1" applyFill="1" applyBorder="1" applyAlignment="1">
      <alignment horizontal="center"/>
    </xf>
    <xf numFmtId="2" fontId="17" fillId="4" borderId="14" xfId="0" applyNumberFormat="1" applyFont="1" applyFill="1" applyBorder="1" applyAlignment="1">
      <alignment horizontal="center"/>
    </xf>
    <xf numFmtId="2" fontId="23" fillId="2" borderId="18" xfId="0" applyNumberFormat="1" applyFont="1" applyFill="1" applyBorder="1"/>
    <xf numFmtId="2" fontId="23" fillId="2" borderId="15" xfId="0" applyNumberFormat="1" applyFont="1" applyFill="1" applyBorder="1"/>
    <xf numFmtId="2" fontId="36" fillId="2" borderId="0" xfId="0" applyNumberFormat="1" applyFont="1" applyFill="1"/>
    <xf numFmtId="2" fontId="36" fillId="2" borderId="13" xfId="0" applyNumberFormat="1" applyFont="1" applyFill="1" applyBorder="1"/>
    <xf numFmtId="2" fontId="36" fillId="2" borderId="16" xfId="0" applyNumberFormat="1" applyFont="1" applyFill="1" applyBorder="1"/>
    <xf numFmtId="2" fontId="16" fillId="4" borderId="36" xfId="0" applyNumberFormat="1" applyFont="1" applyFill="1" applyBorder="1"/>
    <xf numFmtId="2" fontId="36" fillId="2" borderId="33" xfId="0" applyNumberFormat="1" applyFont="1" applyFill="1" applyBorder="1"/>
    <xf numFmtId="2" fontId="16" fillId="3" borderId="41" xfId="0" applyNumberFormat="1" applyFont="1" applyFill="1" applyBorder="1"/>
    <xf numFmtId="164" fontId="0" fillId="2" borderId="0" xfId="0" applyNumberFormat="1" applyFill="1" applyAlignment="1">
      <alignment vertical="center" wrapText="1"/>
    </xf>
    <xf numFmtId="49" fontId="3" fillId="2" borderId="137" xfId="0" applyNumberFormat="1" applyFont="1" applyFill="1" applyBorder="1" applyAlignment="1">
      <alignment horizontal="justify" vertical="center" wrapText="1"/>
    </xf>
    <xf numFmtId="4" fontId="19" fillId="5" borderId="58" xfId="0" applyNumberFormat="1" applyFont="1" applyFill="1" applyBorder="1" applyAlignment="1">
      <alignment vertical="center"/>
    </xf>
    <xf numFmtId="166" fontId="19" fillId="2" borderId="19" xfId="0" applyNumberFormat="1" applyFont="1" applyFill="1" applyBorder="1" applyAlignment="1">
      <alignment vertical="center"/>
    </xf>
    <xf numFmtId="166" fontId="16" fillId="4" borderId="58" xfId="0" applyNumberFormat="1" applyFont="1" applyFill="1" applyBorder="1" applyAlignment="1">
      <alignment vertical="center"/>
    </xf>
    <xf numFmtId="166" fontId="19" fillId="4" borderId="51" xfId="0" applyNumberFormat="1" applyFont="1" applyFill="1" applyBorder="1" applyAlignment="1">
      <alignment vertical="center"/>
    </xf>
    <xf numFmtId="166" fontId="17" fillId="0" borderId="66" xfId="0" applyNumberFormat="1" applyFont="1" applyBorder="1" applyAlignment="1">
      <alignment vertical="center"/>
    </xf>
    <xf numFmtId="166" fontId="17" fillId="0" borderId="67" xfId="0" applyNumberFormat="1" applyFont="1" applyBorder="1" applyAlignment="1">
      <alignment vertical="center"/>
    </xf>
    <xf numFmtId="9" fontId="21" fillId="0" borderId="68" xfId="0" applyNumberFormat="1" applyFont="1" applyBorder="1" applyAlignment="1">
      <alignment horizontal="right" vertical="center"/>
    </xf>
    <xf numFmtId="9" fontId="16" fillId="0" borderId="0" xfId="0" applyNumberFormat="1" applyFont="1" applyAlignment="1">
      <alignment vertical="center"/>
    </xf>
    <xf numFmtId="9" fontId="21" fillId="0" borderId="68" xfId="2" applyFont="1" applyFill="1" applyBorder="1" applyAlignment="1">
      <alignment horizontal="right" vertical="center"/>
    </xf>
    <xf numFmtId="166" fontId="16" fillId="0" borderId="0" xfId="0" applyNumberFormat="1" applyFont="1" applyAlignment="1">
      <alignment vertical="center"/>
    </xf>
    <xf numFmtId="166" fontId="16" fillId="0" borderId="66" xfId="0" applyNumberFormat="1" applyFont="1" applyBorder="1" applyAlignment="1">
      <alignment vertical="center"/>
    </xf>
    <xf numFmtId="166" fontId="16" fillId="0" borderId="67" xfId="0" applyNumberFormat="1" applyFont="1" applyBorder="1" applyAlignment="1">
      <alignment vertical="center"/>
    </xf>
    <xf numFmtId="9" fontId="16" fillId="0" borderId="68" xfId="2" applyFont="1" applyFill="1" applyBorder="1" applyAlignment="1">
      <alignment horizontal="right" vertical="center"/>
    </xf>
    <xf numFmtId="9" fontId="16" fillId="4" borderId="69" xfId="0" applyNumberFormat="1" applyFont="1" applyFill="1" applyBorder="1" applyAlignment="1">
      <alignment vertical="center"/>
    </xf>
    <xf numFmtId="165" fontId="16" fillId="4" borderId="0" xfId="0" applyNumberFormat="1" applyFont="1" applyFill="1" applyAlignment="1">
      <alignment vertical="center"/>
    </xf>
    <xf numFmtId="166" fontId="16" fillId="4" borderId="51" xfId="0" applyNumberFormat="1" applyFont="1" applyFill="1" applyBorder="1" applyAlignment="1">
      <alignment vertical="center"/>
    </xf>
    <xf numFmtId="9" fontId="16" fillId="4" borderId="69" xfId="2" applyFont="1" applyFill="1" applyBorder="1" applyAlignment="1">
      <alignment vertical="center"/>
    </xf>
    <xf numFmtId="166" fontId="16" fillId="4" borderId="0" xfId="0" applyNumberFormat="1" applyFont="1" applyFill="1" applyAlignment="1">
      <alignment vertical="center"/>
    </xf>
    <xf numFmtId="166" fontId="17" fillId="0" borderId="93" xfId="0" applyNumberFormat="1" applyFont="1" applyBorder="1" applyAlignment="1">
      <alignment vertical="center"/>
    </xf>
    <xf numFmtId="166" fontId="17" fillId="0" borderId="55" xfId="0" applyNumberFormat="1" applyFont="1" applyBorder="1" applyAlignment="1">
      <alignment vertical="center"/>
    </xf>
    <xf numFmtId="9" fontId="16" fillId="2" borderId="56" xfId="0" applyNumberFormat="1" applyFont="1" applyFill="1" applyBorder="1" applyAlignment="1">
      <alignment vertical="center"/>
    </xf>
    <xf numFmtId="9" fontId="19" fillId="5" borderId="56" xfId="0" applyNumberFormat="1" applyFont="1" applyFill="1" applyBorder="1" applyAlignment="1">
      <alignment vertical="center"/>
    </xf>
    <xf numFmtId="9" fontId="23" fillId="5" borderId="56" xfId="2" applyFont="1" applyFill="1" applyBorder="1" applyAlignment="1">
      <alignment horizontal="right" vertical="center"/>
    </xf>
    <xf numFmtId="10" fontId="17" fillId="4" borderId="0" xfId="0" applyNumberFormat="1" applyFont="1" applyFill="1" applyAlignment="1">
      <alignment horizontal="center" vertical="center"/>
    </xf>
    <xf numFmtId="9" fontId="17" fillId="4" borderId="0" xfId="2" applyFont="1" applyFill="1" applyBorder="1" applyAlignment="1">
      <alignment horizontal="center" vertical="center"/>
    </xf>
    <xf numFmtId="166" fontId="19" fillId="2" borderId="56" xfId="0" applyNumberFormat="1" applyFont="1" applyFill="1" applyBorder="1" applyAlignment="1">
      <alignment vertical="center"/>
    </xf>
    <xf numFmtId="166" fontId="19" fillId="2" borderId="136" xfId="0" applyNumberFormat="1" applyFont="1" applyFill="1" applyBorder="1" applyAlignment="1">
      <alignment vertical="center"/>
    </xf>
    <xf numFmtId="9" fontId="23" fillId="5" borderId="73" xfId="2" applyFont="1" applyFill="1" applyBorder="1" applyAlignment="1">
      <alignment horizontal="right" vertical="center"/>
    </xf>
    <xf numFmtId="9" fontId="16" fillId="2" borderId="71" xfId="2" applyFont="1" applyFill="1" applyBorder="1" applyAlignment="1">
      <alignment vertical="center"/>
    </xf>
    <xf numFmtId="9" fontId="16" fillId="5" borderId="73" xfId="2" applyFont="1" applyFill="1" applyBorder="1" applyAlignment="1">
      <alignment vertical="center"/>
    </xf>
    <xf numFmtId="9" fontId="21" fillId="4" borderId="76" xfId="2" applyFont="1" applyFill="1" applyBorder="1" applyAlignment="1">
      <alignment horizontal="right" vertical="center"/>
    </xf>
    <xf numFmtId="9" fontId="16" fillId="2" borderId="73" xfId="2" applyFont="1" applyFill="1" applyBorder="1" applyAlignment="1">
      <alignment vertical="center"/>
    </xf>
    <xf numFmtId="9" fontId="23" fillId="4" borderId="76" xfId="2" applyFont="1" applyFill="1" applyBorder="1" applyAlignment="1">
      <alignment horizontal="right" vertical="center"/>
    </xf>
    <xf numFmtId="166" fontId="19" fillId="2" borderId="87" xfId="0" applyNumberFormat="1" applyFont="1" applyFill="1" applyBorder="1" applyAlignment="1">
      <alignment vertical="center"/>
    </xf>
    <xf numFmtId="9" fontId="19" fillId="4" borderId="51" xfId="2" applyFont="1" applyFill="1" applyBorder="1" applyAlignment="1">
      <alignment vertical="center"/>
    </xf>
    <xf numFmtId="166" fontId="19" fillId="0" borderId="55" xfId="0" applyNumberFormat="1" applyFont="1" applyBorder="1"/>
    <xf numFmtId="166" fontId="19" fillId="0" borderId="57" xfId="0" applyNumberFormat="1" applyFont="1" applyBorder="1"/>
    <xf numFmtId="9" fontId="23" fillId="2" borderId="26" xfId="2" applyFont="1" applyFill="1" applyBorder="1" applyAlignment="1">
      <alignment horizontal="right" vertical="center"/>
    </xf>
    <xf numFmtId="9" fontId="19" fillId="2" borderId="26" xfId="2" applyFont="1" applyFill="1" applyBorder="1" applyAlignment="1">
      <alignment vertical="center"/>
    </xf>
    <xf numFmtId="164" fontId="39" fillId="0" borderId="137" xfId="0" applyNumberFormat="1" applyFont="1" applyBorder="1" applyAlignment="1">
      <alignment vertical="center" wrapText="1"/>
    </xf>
    <xf numFmtId="49" fontId="40" fillId="0" borderId="137" xfId="0" applyNumberFormat="1" applyFont="1" applyBorder="1" applyAlignment="1">
      <alignment vertical="center" wrapText="1"/>
    </xf>
    <xf numFmtId="164" fontId="40" fillId="0" borderId="137" xfId="0" applyNumberFormat="1" applyFont="1" applyBorder="1" applyAlignment="1">
      <alignment vertical="center" wrapText="1"/>
    </xf>
    <xf numFmtId="0" fontId="42" fillId="0" borderId="0" xfId="0" applyFont="1" applyAlignment="1">
      <alignment horizontal="justify" vertical="center"/>
    </xf>
    <xf numFmtId="0" fontId="41" fillId="0" borderId="0" xfId="0" applyFont="1" applyAlignment="1">
      <alignment horizontal="justify" vertical="center"/>
    </xf>
    <xf numFmtId="2" fontId="36" fillId="2" borderId="13" xfId="1" applyNumberFormat="1" applyFont="1" applyFill="1" applyBorder="1" applyAlignment="1"/>
    <xf numFmtId="2" fontId="36" fillId="2" borderId="0" xfId="1" applyNumberFormat="1" applyFont="1" applyFill="1" applyBorder="1" applyAlignment="1"/>
    <xf numFmtId="2" fontId="1" fillId="4" borderId="35" xfId="1" applyNumberFormat="1" applyFont="1" applyFill="1" applyBorder="1" applyAlignment="1"/>
    <xf numFmtId="2" fontId="36" fillId="2" borderId="17" xfId="1" applyNumberFormat="1" applyFont="1" applyFill="1" applyBorder="1" applyAlignment="1"/>
    <xf numFmtId="2" fontId="36" fillId="2" borderId="38" xfId="1" applyNumberFormat="1" applyFont="1" applyFill="1" applyBorder="1" applyAlignment="1"/>
    <xf numFmtId="2" fontId="1" fillId="4" borderId="36" xfId="1" applyNumberFormat="1" applyFont="1" applyFill="1" applyBorder="1" applyAlignment="1"/>
    <xf numFmtId="2" fontId="19" fillId="2" borderId="13" xfId="1" applyNumberFormat="1" applyFont="1" applyFill="1" applyBorder="1" applyAlignment="1"/>
    <xf numFmtId="2" fontId="19" fillId="2" borderId="0" xfId="1" applyNumberFormat="1" applyFont="1" applyFill="1" applyBorder="1" applyAlignment="1"/>
    <xf numFmtId="2" fontId="19" fillId="5" borderId="0" xfId="1" applyNumberFormat="1" applyFont="1" applyFill="1" applyBorder="1" applyAlignment="1"/>
    <xf numFmtId="2" fontId="19" fillId="2" borderId="16" xfId="1" applyNumberFormat="1" applyFont="1" applyFill="1" applyBorder="1" applyAlignment="1"/>
    <xf numFmtId="2" fontId="19" fillId="2" borderId="33" xfId="1" applyNumberFormat="1" applyFont="1" applyFill="1" applyBorder="1" applyAlignment="1"/>
    <xf numFmtId="2" fontId="1" fillId="2" borderId="17" xfId="1" applyNumberFormat="1" applyFont="1" applyFill="1" applyBorder="1" applyAlignment="1"/>
    <xf numFmtId="2" fontId="1" fillId="2" borderId="38" xfId="1" applyNumberFormat="1" applyFont="1" applyFill="1" applyBorder="1" applyAlignment="1"/>
    <xf numFmtId="2" fontId="19" fillId="2" borderId="17" xfId="1" applyNumberFormat="1" applyFont="1" applyFill="1" applyBorder="1" applyAlignment="1"/>
    <xf numFmtId="2" fontId="19" fillId="2" borderId="38" xfId="1" applyNumberFormat="1" applyFont="1" applyFill="1" applyBorder="1" applyAlignment="1"/>
    <xf numFmtId="2" fontId="19" fillId="0" borderId="33" xfId="1" applyNumberFormat="1" applyFont="1" applyFill="1" applyBorder="1" applyAlignment="1"/>
    <xf numFmtId="2" fontId="19" fillId="0" borderId="16" xfId="1" applyNumberFormat="1" applyFont="1" applyFill="1" applyBorder="1" applyAlignment="1"/>
    <xf numFmtId="2" fontId="19" fillId="2" borderId="35" xfId="1" applyNumberFormat="1" applyFont="1" applyFill="1" applyBorder="1" applyAlignment="1"/>
    <xf numFmtId="2" fontId="19" fillId="2" borderId="36" xfId="1" applyNumberFormat="1" applyFont="1" applyFill="1" applyBorder="1" applyAlignment="1"/>
    <xf numFmtId="2" fontId="1" fillId="3" borderId="40" xfId="1" applyNumberFormat="1" applyFont="1" applyFill="1" applyBorder="1" applyAlignment="1"/>
    <xf numFmtId="2" fontId="1" fillId="3" borderId="41" xfId="1" applyNumberFormat="1" applyFont="1" applyFill="1" applyBorder="1" applyAlignment="1"/>
    <xf numFmtId="4" fontId="19" fillId="2" borderId="58" xfId="0" applyNumberFormat="1" applyFont="1" applyFill="1" applyBorder="1" applyAlignment="1">
      <alignment vertical="center"/>
    </xf>
    <xf numFmtId="4" fontId="17" fillId="4" borderId="71" xfId="0" applyNumberFormat="1" applyFont="1" applyFill="1" applyBorder="1" applyAlignment="1">
      <alignment vertical="center"/>
    </xf>
    <xf numFmtId="4" fontId="19" fillId="2" borderId="59" xfId="0" applyNumberFormat="1" applyFont="1" applyFill="1" applyBorder="1" applyAlignment="1">
      <alignment vertical="center"/>
    </xf>
    <xf numFmtId="4" fontId="17" fillId="4" borderId="72" xfId="0" applyNumberFormat="1" applyFont="1" applyFill="1" applyBorder="1" applyAlignment="1">
      <alignment vertical="center"/>
    </xf>
    <xf numFmtId="4" fontId="19" fillId="2" borderId="61" xfId="0" applyNumberFormat="1" applyFont="1" applyFill="1" applyBorder="1" applyAlignment="1">
      <alignment vertical="center"/>
    </xf>
    <xf numFmtId="4" fontId="19" fillId="2" borderId="91" xfId="0" applyNumberFormat="1" applyFont="1" applyFill="1" applyBorder="1" applyAlignment="1">
      <alignment vertical="center"/>
    </xf>
    <xf numFmtId="2" fontId="19" fillId="2" borderId="91" xfId="0" applyNumberFormat="1" applyFont="1" applyFill="1" applyBorder="1" applyAlignment="1">
      <alignment vertical="center"/>
    </xf>
    <xf numFmtId="2" fontId="19" fillId="2" borderId="93" xfId="0" applyNumberFormat="1" applyFont="1" applyFill="1" applyBorder="1" applyAlignment="1">
      <alignment vertical="center"/>
    </xf>
    <xf numFmtId="4" fontId="19" fillId="5" borderId="59" xfId="0" applyNumberFormat="1" applyFont="1" applyFill="1" applyBorder="1" applyAlignment="1">
      <alignment vertical="center"/>
    </xf>
    <xf numFmtId="4" fontId="19" fillId="5" borderId="58" xfId="1" applyNumberFormat="1" applyFont="1" applyFill="1" applyBorder="1" applyAlignment="1">
      <alignment vertical="center"/>
    </xf>
    <xf numFmtId="4" fontId="19" fillId="5" borderId="59" xfId="1" applyNumberFormat="1" applyFont="1" applyFill="1" applyBorder="1" applyAlignment="1">
      <alignment vertical="center"/>
    </xf>
    <xf numFmtId="4" fontId="19" fillId="5" borderId="66" xfId="0" applyNumberFormat="1" applyFont="1" applyFill="1" applyBorder="1" applyAlignment="1">
      <alignment vertical="center"/>
    </xf>
    <xf numFmtId="4" fontId="19" fillId="5" borderId="67" xfId="0" applyNumberFormat="1" applyFont="1" applyFill="1" applyBorder="1" applyAlignment="1">
      <alignment vertical="center"/>
    </xf>
    <xf numFmtId="4" fontId="19" fillId="2" borderId="61" xfId="1" applyNumberFormat="1" applyFont="1" applyFill="1" applyBorder="1" applyAlignment="1">
      <alignment vertical="center"/>
    </xf>
    <xf numFmtId="4" fontId="19" fillId="2" borderId="91" xfId="1" applyNumberFormat="1" applyFont="1" applyFill="1" applyBorder="1" applyAlignment="1">
      <alignment vertical="center"/>
    </xf>
    <xf numFmtId="4" fontId="19" fillId="5" borderId="61" xfId="1" applyNumberFormat="1" applyFont="1" applyFill="1" applyBorder="1" applyAlignment="1">
      <alignment vertical="center"/>
    </xf>
    <xf numFmtId="4" fontId="19" fillId="5" borderId="91" xfId="1" applyNumberFormat="1" applyFont="1" applyFill="1" applyBorder="1" applyAlignment="1">
      <alignment vertical="center"/>
    </xf>
    <xf numFmtId="4" fontId="19" fillId="5" borderId="61" xfId="0" applyNumberFormat="1" applyFont="1" applyFill="1" applyBorder="1" applyAlignment="1">
      <alignment vertical="center"/>
    </xf>
    <xf numFmtId="4" fontId="19" fillId="5" borderId="91" xfId="0" applyNumberFormat="1" applyFont="1" applyFill="1" applyBorder="1" applyAlignment="1">
      <alignment vertical="center"/>
    </xf>
    <xf numFmtId="4" fontId="16" fillId="2" borderId="71" xfId="0" applyNumberFormat="1" applyFont="1" applyFill="1" applyBorder="1" applyAlignment="1">
      <alignment vertical="center"/>
    </xf>
    <xf numFmtId="4" fontId="16" fillId="2" borderId="72" xfId="0" applyNumberFormat="1" applyFont="1" applyFill="1" applyBorder="1" applyAlignment="1">
      <alignment vertical="center"/>
    </xf>
    <xf numFmtId="4" fontId="17" fillId="4" borderId="74" xfId="0" applyNumberFormat="1" applyFont="1" applyFill="1" applyBorder="1" applyAlignment="1">
      <alignment vertical="center"/>
    </xf>
    <xf numFmtId="4" fontId="17" fillId="4" borderId="75" xfId="0" applyNumberFormat="1" applyFont="1" applyFill="1" applyBorder="1" applyAlignment="1">
      <alignment vertical="center"/>
    </xf>
    <xf numFmtId="4" fontId="16" fillId="5" borderId="71" xfId="0" applyNumberFormat="1" applyFont="1" applyFill="1" applyBorder="1" applyAlignment="1">
      <alignment vertical="center"/>
    </xf>
    <xf numFmtId="4" fontId="16" fillId="5" borderId="72" xfId="0" applyNumberFormat="1" applyFont="1" applyFill="1" applyBorder="1" applyAlignment="1">
      <alignment vertical="center"/>
    </xf>
    <xf numFmtId="4" fontId="19" fillId="2" borderId="71" xfId="0" applyNumberFormat="1" applyFont="1" applyFill="1" applyBorder="1" applyAlignment="1">
      <alignment vertical="center"/>
    </xf>
    <xf numFmtId="4" fontId="19" fillId="2" borderId="72" xfId="0" applyNumberFormat="1" applyFont="1" applyFill="1" applyBorder="1" applyAlignment="1">
      <alignment vertical="center"/>
    </xf>
    <xf numFmtId="4" fontId="16" fillId="4" borderId="74" xfId="0" applyNumberFormat="1" applyFont="1" applyFill="1" applyBorder="1" applyAlignment="1">
      <alignment vertical="center"/>
    </xf>
    <xf numFmtId="4" fontId="19" fillId="2" borderId="51" xfId="0" applyNumberFormat="1" applyFont="1" applyFill="1" applyBorder="1" applyAlignment="1">
      <alignment vertical="center"/>
    </xf>
    <xf numFmtId="4" fontId="19" fillId="2" borderId="52" xfId="0" applyNumberFormat="1" applyFont="1" applyFill="1" applyBorder="1" applyAlignment="1">
      <alignment vertical="center"/>
    </xf>
    <xf numFmtId="4" fontId="16" fillId="2" borderId="66" xfId="0" applyNumberFormat="1" applyFont="1" applyFill="1" applyBorder="1" applyAlignment="1">
      <alignment vertical="center"/>
    </xf>
    <xf numFmtId="4" fontId="16" fillId="2" borderId="67" xfId="0" applyNumberFormat="1" applyFont="1" applyFill="1" applyBorder="1" applyAlignment="1">
      <alignment vertical="center"/>
    </xf>
    <xf numFmtId="4" fontId="16" fillId="2" borderId="52" xfId="0" applyNumberFormat="1" applyFont="1" applyFill="1" applyBorder="1" applyAlignment="1">
      <alignment vertical="center"/>
    </xf>
    <xf numFmtId="4" fontId="19" fillId="2" borderId="58" xfId="1" applyNumberFormat="1" applyFont="1" applyFill="1" applyBorder="1" applyAlignment="1">
      <alignment vertical="center"/>
    </xf>
    <xf numFmtId="4" fontId="19" fillId="2" borderId="59" xfId="1" applyNumberFormat="1" applyFont="1" applyFill="1" applyBorder="1" applyAlignment="1">
      <alignment vertical="center"/>
    </xf>
    <xf numFmtId="4" fontId="16" fillId="2" borderId="58" xfId="0" applyNumberFormat="1" applyFont="1" applyFill="1" applyBorder="1" applyAlignment="1">
      <alignment vertical="center"/>
    </xf>
    <xf numFmtId="4" fontId="16" fillId="2" borderId="59" xfId="0" applyNumberFormat="1" applyFont="1" applyFill="1" applyBorder="1" applyAlignment="1">
      <alignment vertical="center"/>
    </xf>
    <xf numFmtId="4" fontId="19" fillId="0" borderId="59" xfId="0" applyNumberFormat="1" applyFont="1" applyBorder="1" applyAlignment="1">
      <alignment vertical="center"/>
    </xf>
    <xf numFmtId="49" fontId="40" fillId="0" borderId="137" xfId="0" applyNumberFormat="1" applyFont="1" applyBorder="1" applyAlignment="1">
      <alignment vertical="center"/>
    </xf>
    <xf numFmtId="49" fontId="0" fillId="2" borderId="142" xfId="0" applyNumberFormat="1" applyFill="1" applyBorder="1" applyAlignment="1">
      <alignment vertical="center"/>
    </xf>
    <xf numFmtId="49" fontId="41" fillId="0" borderId="142" xfId="0" applyNumberFormat="1" applyFont="1" applyBorder="1" applyAlignment="1">
      <alignment vertical="center"/>
    </xf>
    <xf numFmtId="49" fontId="41" fillId="0" borderId="137" xfId="0" applyNumberFormat="1" applyFont="1" applyBorder="1" applyAlignment="1">
      <alignment vertical="center"/>
    </xf>
    <xf numFmtId="164" fontId="41" fillId="0" borderId="137" xfId="0" applyNumberFormat="1" applyFont="1" applyBorder="1" applyAlignment="1">
      <alignment vertical="center"/>
    </xf>
    <xf numFmtId="49" fontId="23" fillId="0" borderId="13" xfId="0" applyNumberFormat="1" applyFont="1" applyBorder="1" applyAlignment="1">
      <alignment horizontal="justify" vertical="center"/>
    </xf>
    <xf numFmtId="164" fontId="0" fillId="2" borderId="137" xfId="0" applyNumberFormat="1" applyFill="1" applyBorder="1" applyAlignment="1">
      <alignment vertical="center"/>
    </xf>
    <xf numFmtId="166" fontId="0" fillId="5" borderId="58" xfId="0" applyNumberFormat="1" applyFill="1" applyBorder="1" applyAlignment="1">
      <alignment vertical="center"/>
    </xf>
    <xf numFmtId="166" fontId="0" fillId="2" borderId="58" xfId="0" applyNumberFormat="1" applyFill="1" applyBorder="1" applyAlignment="1">
      <alignment vertical="center"/>
    </xf>
    <xf numFmtId="166" fontId="0" fillId="2" borderId="59" xfId="0" applyNumberFormat="1" applyFill="1" applyBorder="1" applyAlignment="1">
      <alignment vertical="center"/>
    </xf>
    <xf numFmtId="166" fontId="6" fillId="2" borderId="59" xfId="0" applyNumberFormat="1" applyFont="1" applyFill="1" applyBorder="1" applyAlignment="1">
      <alignment vertical="center"/>
    </xf>
    <xf numFmtId="166" fontId="0" fillId="5" borderId="91" xfId="0" applyNumberFormat="1" applyFill="1" applyBorder="1" applyAlignment="1">
      <alignment vertical="center"/>
    </xf>
    <xf numFmtId="166" fontId="0" fillId="5" borderId="59" xfId="0" applyNumberFormat="1" applyFill="1" applyBorder="1" applyAlignment="1">
      <alignment vertical="center"/>
    </xf>
    <xf numFmtId="166" fontId="6" fillId="5" borderId="59" xfId="0" applyNumberFormat="1" applyFont="1" applyFill="1" applyBorder="1" applyAlignment="1">
      <alignment vertical="center"/>
    </xf>
    <xf numFmtId="166" fontId="0" fillId="2" borderId="91" xfId="0" applyNumberFormat="1" applyFill="1" applyBorder="1" applyAlignment="1">
      <alignment vertical="center"/>
    </xf>
    <xf numFmtId="166" fontId="0" fillId="0" borderId="91" xfId="0" applyNumberFormat="1" applyBorder="1" applyAlignment="1">
      <alignment vertical="center"/>
    </xf>
    <xf numFmtId="166" fontId="19" fillId="2" borderId="108" xfId="0" applyNumberFormat="1" applyFont="1" applyFill="1" applyBorder="1" applyAlignment="1">
      <alignment vertical="center"/>
    </xf>
    <xf numFmtId="166" fontId="19" fillId="2" borderId="143" xfId="0" applyNumberFormat="1" applyFont="1" applyFill="1" applyBorder="1" applyAlignment="1">
      <alignment vertical="center"/>
    </xf>
    <xf numFmtId="166" fontId="19" fillId="2" borderId="144" xfId="0" applyNumberFormat="1" applyFont="1" applyFill="1" applyBorder="1" applyAlignment="1">
      <alignment vertical="center"/>
    </xf>
    <xf numFmtId="49" fontId="16" fillId="2" borderId="4" xfId="0" applyNumberFormat="1" applyFont="1" applyFill="1" applyBorder="1" applyAlignment="1">
      <alignment vertical="center"/>
    </xf>
    <xf numFmtId="166" fontId="19" fillId="2" borderId="145" xfId="0" applyNumberFormat="1" applyFont="1" applyFill="1" applyBorder="1" applyAlignment="1">
      <alignment vertical="center"/>
    </xf>
    <xf numFmtId="166" fontId="19" fillId="2" borderId="109" xfId="0" applyNumberFormat="1" applyFont="1" applyFill="1" applyBorder="1" applyAlignment="1">
      <alignment vertical="center"/>
    </xf>
    <xf numFmtId="166" fontId="19" fillId="0" borderId="108" xfId="0" applyNumberFormat="1" applyFont="1" applyBorder="1"/>
    <xf numFmtId="166" fontId="19" fillId="2" borderId="106" xfId="0" applyNumberFormat="1" applyFont="1" applyFill="1" applyBorder="1" applyAlignment="1">
      <alignment vertical="center"/>
    </xf>
    <xf numFmtId="2" fontId="16" fillId="4" borderId="67" xfId="0" applyNumberFormat="1" applyFont="1" applyFill="1" applyBorder="1" applyAlignment="1">
      <alignment vertical="center"/>
    </xf>
    <xf numFmtId="166" fontId="21" fillId="0" borderId="55" xfId="1" applyNumberFormat="1" applyFont="1" applyFill="1" applyBorder="1" applyProtection="1"/>
    <xf numFmtId="166" fontId="0" fillId="2" borderId="55" xfId="0" applyNumberFormat="1" applyFill="1" applyBorder="1" applyAlignment="1">
      <alignment vertical="center"/>
    </xf>
    <xf numFmtId="49" fontId="17" fillId="2" borderId="26" xfId="0" applyNumberFormat="1" applyFont="1" applyFill="1" applyBorder="1" applyAlignment="1">
      <alignment vertical="center"/>
    </xf>
    <xf numFmtId="49" fontId="23" fillId="2" borderId="146" xfId="0" applyNumberFormat="1" applyFont="1" applyFill="1" applyBorder="1" applyAlignment="1">
      <alignment vertical="center"/>
    </xf>
    <xf numFmtId="166" fontId="17" fillId="0" borderId="113" xfId="0" applyNumberFormat="1" applyFont="1" applyBorder="1" applyAlignment="1">
      <alignment horizontal="center" vertical="center"/>
    </xf>
    <xf numFmtId="166" fontId="17" fillId="0" borderId="15" xfId="0" applyNumberFormat="1" applyFont="1" applyBorder="1" applyAlignment="1">
      <alignment horizontal="center" vertical="center"/>
    </xf>
    <xf numFmtId="166" fontId="16" fillId="2" borderId="13" xfId="0" applyNumberFormat="1" applyFont="1" applyFill="1" applyBorder="1" applyAlignment="1">
      <alignment vertical="center"/>
    </xf>
    <xf numFmtId="166" fontId="19" fillId="2" borderId="13" xfId="0" applyNumberFormat="1" applyFont="1" applyFill="1" applyBorder="1" applyAlignment="1">
      <alignment vertical="center"/>
    </xf>
    <xf numFmtId="166" fontId="17" fillId="0" borderId="147" xfId="0" applyNumberFormat="1" applyFont="1" applyBorder="1" applyAlignment="1">
      <alignment horizontal="center" vertical="center"/>
    </xf>
    <xf numFmtId="166" fontId="16" fillId="2" borderId="57" xfId="0" applyNumberFormat="1" applyFont="1" applyFill="1" applyBorder="1" applyAlignment="1">
      <alignment vertical="center"/>
    </xf>
    <xf numFmtId="4" fontId="19" fillId="2" borderId="57" xfId="0" applyNumberFormat="1" applyFont="1" applyFill="1" applyBorder="1" applyAlignment="1">
      <alignment vertical="center"/>
    </xf>
    <xf numFmtId="166" fontId="16" fillId="2" borderId="56" xfId="0" applyNumberFormat="1" applyFont="1" applyFill="1" applyBorder="1" applyAlignment="1">
      <alignment vertical="center"/>
    </xf>
    <xf numFmtId="166" fontId="17" fillId="0" borderId="148" xfId="0" applyNumberFormat="1" applyFont="1" applyBorder="1" applyAlignment="1">
      <alignment horizontal="center" vertical="center"/>
    </xf>
    <xf numFmtId="49" fontId="17" fillId="0" borderId="149" xfId="0" applyNumberFormat="1" applyFont="1" applyBorder="1" applyAlignment="1">
      <alignment horizontal="center" vertical="center"/>
    </xf>
    <xf numFmtId="165" fontId="16" fillId="2" borderId="126" xfId="0" applyNumberFormat="1" applyFont="1" applyFill="1" applyBorder="1" applyAlignment="1">
      <alignment vertical="center"/>
    </xf>
    <xf numFmtId="165" fontId="16" fillId="3" borderId="26" xfId="0" applyNumberFormat="1" applyFont="1" applyFill="1" applyBorder="1" applyAlignment="1">
      <alignment vertical="center"/>
    </xf>
    <xf numFmtId="165" fontId="19" fillId="3" borderId="26" xfId="0" applyNumberFormat="1" applyFont="1" applyFill="1" applyBorder="1" applyAlignment="1">
      <alignment vertical="center"/>
    </xf>
    <xf numFmtId="165" fontId="16" fillId="2" borderId="26" xfId="0" applyNumberFormat="1" applyFont="1" applyFill="1" applyBorder="1" applyAlignment="1">
      <alignment vertical="center"/>
    </xf>
    <xf numFmtId="173" fontId="0" fillId="0" borderId="0" xfId="0" applyNumberFormat="1"/>
    <xf numFmtId="166" fontId="17" fillId="4" borderId="124" xfId="0" applyNumberFormat="1" applyFont="1" applyFill="1" applyBorder="1" applyAlignment="1">
      <alignment horizontal="center" vertical="center"/>
    </xf>
    <xf numFmtId="166" fontId="17" fillId="4" borderId="57" xfId="0" applyNumberFormat="1" applyFont="1" applyFill="1" applyBorder="1" applyAlignment="1">
      <alignment horizontal="center" vertical="center"/>
    </xf>
    <xf numFmtId="166" fontId="17" fillId="4" borderId="50" xfId="0" applyNumberFormat="1" applyFont="1" applyFill="1" applyBorder="1" applyAlignment="1">
      <alignment horizontal="center" vertical="center"/>
    </xf>
    <xf numFmtId="166" fontId="17" fillId="0" borderId="57" xfId="0" applyNumberFormat="1" applyFont="1" applyBorder="1" applyAlignment="1">
      <alignment horizontal="center" vertical="center"/>
    </xf>
    <xf numFmtId="15" fontId="27" fillId="0" borderId="126" xfId="0" applyNumberFormat="1" applyFont="1" applyBorder="1" applyAlignment="1">
      <alignment horizontal="center" vertical="center"/>
    </xf>
    <xf numFmtId="15" fontId="27" fillId="3" borderId="26" xfId="0" applyNumberFormat="1" applyFont="1" applyFill="1" applyBorder="1" applyAlignment="1">
      <alignment horizontal="center" vertical="center"/>
    </xf>
    <xf numFmtId="15" fontId="27" fillId="0" borderId="26" xfId="0" applyNumberFormat="1" applyFont="1" applyBorder="1" applyAlignment="1">
      <alignment horizontal="center" vertical="center"/>
    </xf>
    <xf numFmtId="165" fontId="27" fillId="3" borderId="26" xfId="0" applyNumberFormat="1" applyFont="1" applyFill="1" applyBorder="1" applyAlignment="1">
      <alignment horizontal="center" vertical="center"/>
    </xf>
    <xf numFmtId="9" fontId="17" fillId="0" borderId="125" xfId="0" applyNumberFormat="1" applyFont="1" applyBorder="1" applyAlignment="1">
      <alignment horizontal="center" vertical="center"/>
    </xf>
    <xf numFmtId="9" fontId="17" fillId="4" borderId="152" xfId="2" applyFont="1" applyFill="1" applyBorder="1" applyAlignment="1">
      <alignment horizontal="center" vertical="center"/>
    </xf>
    <xf numFmtId="49" fontId="17" fillId="4" borderId="153" xfId="0" applyNumberFormat="1" applyFont="1" applyFill="1" applyBorder="1" applyAlignment="1">
      <alignment vertical="center"/>
    </xf>
    <xf numFmtId="49" fontId="19" fillId="2" borderId="146" xfId="0" applyNumberFormat="1" applyFont="1" applyFill="1" applyBorder="1" applyAlignment="1">
      <alignment vertical="center"/>
    </xf>
    <xf numFmtId="49" fontId="19" fillId="2" borderId="154" xfId="0" applyNumberFormat="1" applyFont="1" applyFill="1" applyBorder="1" applyAlignment="1">
      <alignment vertical="center"/>
    </xf>
    <xf numFmtId="164" fontId="21" fillId="0" borderId="26" xfId="0" applyNumberFormat="1" applyFont="1" applyBorder="1" applyAlignment="1">
      <alignment vertical="center"/>
    </xf>
    <xf numFmtId="49" fontId="17" fillId="2" borderId="146" xfId="0" applyNumberFormat="1" applyFont="1" applyFill="1" applyBorder="1" applyAlignment="1">
      <alignment vertical="center"/>
    </xf>
    <xf numFmtId="49" fontId="17" fillId="4" borderId="155" xfId="0" applyNumberFormat="1" applyFont="1" applyFill="1" applyBorder="1" applyAlignment="1">
      <alignment vertical="center"/>
    </xf>
    <xf numFmtId="164" fontId="21" fillId="4" borderId="155" xfId="0" applyNumberFormat="1" applyFont="1" applyFill="1" applyBorder="1" applyAlignment="1">
      <alignment vertical="center"/>
    </xf>
    <xf numFmtId="9" fontId="17" fillId="0" borderId="49" xfId="0" applyNumberFormat="1" applyFont="1" applyBorder="1" applyAlignment="1">
      <alignment horizontal="center" vertical="center"/>
    </xf>
    <xf numFmtId="9" fontId="23" fillId="2" borderId="56" xfId="0" applyNumberFormat="1" applyFont="1" applyFill="1" applyBorder="1" applyAlignment="1">
      <alignment horizontal="right" vertical="center"/>
    </xf>
    <xf numFmtId="9" fontId="23" fillId="2" borderId="65" xfId="0" applyNumberFormat="1" applyFont="1" applyFill="1" applyBorder="1" applyAlignment="1">
      <alignment horizontal="right" vertical="center"/>
    </xf>
    <xf numFmtId="9" fontId="21" fillId="4" borderId="88" xfId="0" applyNumberFormat="1" applyFont="1" applyFill="1" applyBorder="1" applyAlignment="1">
      <alignment horizontal="right" vertical="center"/>
    </xf>
    <xf numFmtId="166" fontId="17" fillId="4" borderId="93" xfId="0" applyNumberFormat="1" applyFont="1" applyFill="1" applyBorder="1" applyAlignment="1">
      <alignment vertical="center"/>
    </xf>
    <xf numFmtId="166" fontId="19" fillId="2" borderId="157" xfId="0" applyNumberFormat="1" applyFont="1" applyFill="1" applyBorder="1" applyAlignment="1">
      <alignment vertical="center"/>
    </xf>
    <xf numFmtId="165" fontId="19" fillId="3" borderId="118" xfId="0" applyNumberFormat="1" applyFont="1" applyFill="1" applyBorder="1" applyAlignment="1">
      <alignment vertical="center"/>
    </xf>
    <xf numFmtId="166" fontId="19" fillId="2" borderId="158" xfId="0" applyNumberFormat="1" applyFont="1" applyFill="1" applyBorder="1" applyAlignment="1">
      <alignment vertical="center"/>
    </xf>
    <xf numFmtId="166" fontId="19" fillId="2" borderId="159" xfId="0" applyNumberFormat="1" applyFont="1" applyFill="1" applyBorder="1" applyAlignment="1">
      <alignment vertical="center"/>
    </xf>
    <xf numFmtId="165" fontId="19" fillId="3" borderId="160" xfId="0" applyNumberFormat="1" applyFont="1" applyFill="1" applyBorder="1" applyAlignment="1">
      <alignment vertical="center"/>
    </xf>
    <xf numFmtId="9" fontId="16" fillId="2" borderId="126" xfId="0" applyNumberFormat="1" applyFont="1" applyFill="1" applyBorder="1" applyAlignment="1">
      <alignment vertical="center"/>
    </xf>
    <xf numFmtId="9" fontId="23" fillId="2" borderId="126" xfId="0" applyNumberFormat="1" applyFont="1" applyFill="1" applyBorder="1" applyAlignment="1">
      <alignment horizontal="right" vertical="center"/>
    </xf>
    <xf numFmtId="9" fontId="23" fillId="2" borderId="162" xfId="0" applyNumberFormat="1" applyFont="1" applyFill="1" applyBorder="1" applyAlignment="1">
      <alignment horizontal="right" vertical="center"/>
    </xf>
    <xf numFmtId="9" fontId="19" fillId="3" borderId="29" xfId="0" applyNumberFormat="1" applyFont="1" applyFill="1" applyBorder="1" applyAlignment="1">
      <alignment vertical="center"/>
    </xf>
    <xf numFmtId="9" fontId="23" fillId="2" borderId="162" xfId="2" applyFont="1" applyFill="1" applyBorder="1" applyAlignment="1">
      <alignment horizontal="right" vertical="center"/>
    </xf>
    <xf numFmtId="166" fontId="17" fillId="4" borderId="137" xfId="0" applyNumberFormat="1" applyFont="1" applyFill="1" applyBorder="1" applyAlignment="1">
      <alignment vertical="center"/>
    </xf>
    <xf numFmtId="165" fontId="19" fillId="3" borderId="29" xfId="0" applyNumberFormat="1" applyFont="1" applyFill="1" applyBorder="1" applyAlignment="1">
      <alignment vertical="center"/>
    </xf>
    <xf numFmtId="9" fontId="17" fillId="4" borderId="161" xfId="2" applyFont="1" applyFill="1" applyBorder="1" applyAlignment="1">
      <alignment horizontal="right" vertical="center"/>
    </xf>
    <xf numFmtId="165" fontId="16" fillId="3" borderId="126" xfId="0" applyNumberFormat="1" applyFont="1" applyFill="1" applyBorder="1" applyAlignment="1">
      <alignment vertical="center"/>
    </xf>
    <xf numFmtId="15" fontId="27" fillId="0" borderId="150" xfId="0" applyNumberFormat="1" applyFont="1" applyBorder="1" applyAlignment="1">
      <alignment horizontal="center" vertical="center"/>
    </xf>
    <xf numFmtId="166" fontId="19" fillId="2" borderId="156" xfId="0" applyNumberFormat="1" applyFont="1" applyFill="1" applyBorder="1" applyAlignment="1">
      <alignment vertical="center"/>
    </xf>
    <xf numFmtId="166" fontId="17" fillId="4" borderId="163" xfId="0" applyNumberFormat="1" applyFont="1" applyFill="1" applyBorder="1" applyAlignment="1">
      <alignment vertical="center"/>
    </xf>
    <xf numFmtId="165" fontId="16" fillId="3" borderId="12" xfId="0" applyNumberFormat="1" applyFont="1" applyFill="1" applyBorder="1" applyAlignment="1">
      <alignment vertical="center"/>
    </xf>
    <xf numFmtId="10" fontId="17" fillId="0" borderId="125" xfId="0" applyNumberFormat="1" applyFont="1" applyBorder="1" applyAlignment="1">
      <alignment horizontal="center" vertical="center"/>
    </xf>
    <xf numFmtId="10" fontId="16" fillId="2" borderId="126" xfId="0" applyNumberFormat="1" applyFont="1" applyFill="1" applyBorder="1" applyAlignment="1">
      <alignment vertical="center"/>
    </xf>
    <xf numFmtId="10" fontId="23" fillId="2" borderId="126" xfId="0" applyNumberFormat="1" applyFont="1" applyFill="1" applyBorder="1" applyAlignment="1">
      <alignment horizontal="right" vertical="center"/>
    </xf>
    <xf numFmtId="10" fontId="23" fillId="2" borderId="56" xfId="0" applyNumberFormat="1" applyFont="1" applyFill="1" applyBorder="1" applyAlignment="1">
      <alignment horizontal="right" vertical="center"/>
    </xf>
    <xf numFmtId="165" fontId="19" fillId="3" borderId="12" xfId="0" applyNumberFormat="1" applyFont="1" applyFill="1" applyBorder="1" applyAlignment="1">
      <alignment vertical="center"/>
    </xf>
    <xf numFmtId="166" fontId="17" fillId="4" borderId="164" xfId="0" applyNumberFormat="1" applyFont="1" applyFill="1" applyBorder="1" applyAlignment="1">
      <alignment vertical="center"/>
    </xf>
    <xf numFmtId="9" fontId="21" fillId="4" borderId="165" xfId="0" applyNumberFormat="1" applyFont="1" applyFill="1" applyBorder="1" applyAlignment="1">
      <alignment horizontal="right" vertical="center"/>
    </xf>
    <xf numFmtId="9" fontId="16" fillId="3" borderId="166" xfId="0" applyNumberFormat="1" applyFont="1" applyFill="1" applyBorder="1" applyAlignment="1">
      <alignment vertical="center"/>
    </xf>
    <xf numFmtId="166" fontId="17" fillId="4" borderId="167" xfId="0" applyNumberFormat="1" applyFont="1" applyFill="1" applyBorder="1" applyAlignment="1">
      <alignment vertical="center"/>
    </xf>
    <xf numFmtId="10" fontId="21" fillId="4" borderId="121" xfId="0" applyNumberFormat="1" applyFont="1" applyFill="1" applyBorder="1" applyAlignment="1">
      <alignment horizontal="right" vertical="center"/>
    </xf>
    <xf numFmtId="9" fontId="21" fillId="4" borderId="165" xfId="2" applyFont="1" applyFill="1" applyBorder="1" applyAlignment="1">
      <alignment horizontal="right" vertical="center"/>
    </xf>
    <xf numFmtId="166" fontId="17" fillId="4" borderId="121" xfId="0" applyNumberFormat="1" applyFont="1" applyFill="1" applyBorder="1" applyAlignment="1">
      <alignment vertical="center"/>
    </xf>
    <xf numFmtId="9" fontId="17" fillId="4" borderId="165" xfId="2" applyFont="1" applyFill="1" applyBorder="1" applyAlignment="1">
      <alignment horizontal="right" vertical="center"/>
    </xf>
    <xf numFmtId="166" fontId="16" fillId="3" borderId="166" xfId="0" applyNumberFormat="1" applyFont="1" applyFill="1" applyBorder="1" applyAlignment="1">
      <alignment vertical="center"/>
    </xf>
    <xf numFmtId="166" fontId="16" fillId="4" borderId="167" xfId="0" applyNumberFormat="1" applyFont="1" applyFill="1" applyBorder="1" applyAlignment="1">
      <alignment vertical="center"/>
    </xf>
    <xf numFmtId="166" fontId="16" fillId="4" borderId="120" xfId="0" applyNumberFormat="1" applyFont="1" applyFill="1" applyBorder="1" applyAlignment="1">
      <alignment vertical="center"/>
    </xf>
    <xf numFmtId="164" fontId="17" fillId="4" borderId="168" xfId="0" applyNumberFormat="1" applyFont="1" applyFill="1" applyBorder="1" applyAlignment="1">
      <alignment vertical="center"/>
    </xf>
    <xf numFmtId="166" fontId="17" fillId="4" borderId="91" xfId="0" applyNumberFormat="1" applyFont="1" applyFill="1" applyBorder="1" applyAlignment="1">
      <alignment horizontal="center" vertical="center"/>
    </xf>
    <xf numFmtId="9" fontId="16" fillId="3" borderId="160" xfId="0" applyNumberFormat="1" applyFont="1" applyFill="1" applyBorder="1" applyAlignment="1">
      <alignment vertical="center"/>
    </xf>
    <xf numFmtId="9" fontId="19" fillId="3" borderId="12" xfId="0" applyNumberFormat="1" applyFont="1" applyFill="1" applyBorder="1" applyAlignment="1">
      <alignment vertical="center"/>
    </xf>
    <xf numFmtId="166" fontId="19" fillId="2" borderId="92" xfId="0" applyNumberFormat="1" applyFont="1" applyFill="1" applyBorder="1" applyAlignment="1">
      <alignment vertical="center"/>
    </xf>
    <xf numFmtId="9" fontId="23" fillId="3" borderId="12" xfId="0" applyNumberFormat="1" applyFont="1" applyFill="1" applyBorder="1" applyAlignment="1">
      <alignment horizontal="right" vertical="center"/>
    </xf>
    <xf numFmtId="9" fontId="23" fillId="3" borderId="169" xfId="0" applyNumberFormat="1" applyFont="1" applyFill="1" applyBorder="1" applyAlignment="1">
      <alignment horizontal="right" vertical="center"/>
    </xf>
    <xf numFmtId="166" fontId="16" fillId="3" borderId="13" xfId="0" applyNumberFormat="1" applyFont="1" applyFill="1" applyBorder="1" applyAlignment="1">
      <alignment vertical="center"/>
    </xf>
    <xf numFmtId="166" fontId="19" fillId="3" borderId="13" xfId="0" applyNumberFormat="1" applyFont="1" applyFill="1" applyBorder="1" applyAlignment="1">
      <alignment vertical="center"/>
    </xf>
    <xf numFmtId="166" fontId="16" fillId="4" borderId="92" xfId="0" applyNumberFormat="1" applyFont="1" applyFill="1" applyBorder="1" applyAlignment="1">
      <alignment vertical="center"/>
    </xf>
    <xf numFmtId="166" fontId="23" fillId="3" borderId="13" xfId="0" applyNumberFormat="1" applyFont="1" applyFill="1" applyBorder="1" applyAlignment="1">
      <alignment horizontal="right" vertical="center"/>
    </xf>
    <xf numFmtId="165" fontId="16" fillId="3" borderId="16" xfId="0" applyNumberFormat="1" applyFont="1" applyFill="1" applyBorder="1" applyAlignment="1">
      <alignment vertical="center"/>
    </xf>
    <xf numFmtId="164" fontId="0" fillId="2" borderId="10" xfId="0" applyNumberFormat="1" applyFill="1" applyBorder="1" applyAlignment="1">
      <alignment vertical="center" wrapText="1"/>
    </xf>
    <xf numFmtId="0" fontId="19" fillId="0" borderId="13" xfId="0" applyFont="1" applyBorder="1"/>
    <xf numFmtId="9" fontId="19" fillId="3" borderId="26" xfId="0" applyNumberFormat="1" applyFont="1" applyFill="1" applyBorder="1" applyAlignment="1">
      <alignment vertical="center"/>
    </xf>
    <xf numFmtId="9" fontId="16" fillId="3" borderId="26" xfId="0" applyNumberFormat="1" applyFont="1" applyFill="1" applyBorder="1" applyAlignment="1">
      <alignment vertical="center"/>
    </xf>
    <xf numFmtId="9" fontId="16" fillId="4" borderId="165" xfId="2" applyFont="1" applyFill="1" applyBorder="1" applyAlignment="1">
      <alignment horizontal="right" vertical="center"/>
    </xf>
    <xf numFmtId="166" fontId="16" fillId="2" borderId="36" xfId="0" applyNumberFormat="1" applyFont="1" applyFill="1" applyBorder="1" applyAlignment="1">
      <alignment vertical="center"/>
    </xf>
    <xf numFmtId="166" fontId="16" fillId="2" borderId="170" xfId="0" applyNumberFormat="1" applyFont="1" applyFill="1" applyBorder="1" applyAlignment="1">
      <alignment vertical="center"/>
    </xf>
    <xf numFmtId="166" fontId="17" fillId="4" borderId="171" xfId="0" applyNumberFormat="1" applyFont="1" applyFill="1" applyBorder="1" applyAlignment="1">
      <alignment vertical="center"/>
    </xf>
    <xf numFmtId="9" fontId="23" fillId="2" borderId="161" xfId="0" applyNumberFormat="1" applyFont="1" applyFill="1" applyBorder="1" applyAlignment="1">
      <alignment horizontal="right" vertical="center"/>
    </xf>
    <xf numFmtId="15" fontId="27" fillId="0" borderId="172" xfId="0" applyNumberFormat="1" applyFont="1" applyBorder="1" applyAlignment="1">
      <alignment horizontal="center" vertical="center"/>
    </xf>
    <xf numFmtId="165" fontId="19" fillId="3" borderId="126" xfId="0" applyNumberFormat="1" applyFont="1" applyFill="1" applyBorder="1" applyAlignment="1">
      <alignment vertical="center"/>
    </xf>
    <xf numFmtId="166" fontId="17" fillId="4" borderId="173" xfId="0" applyNumberFormat="1" applyFont="1" applyFill="1" applyBorder="1" applyAlignment="1">
      <alignment vertical="center"/>
    </xf>
    <xf numFmtId="9" fontId="17" fillId="4" borderId="174" xfId="2" applyFont="1" applyFill="1" applyBorder="1" applyAlignment="1">
      <alignment horizontal="right" vertical="center"/>
    </xf>
    <xf numFmtId="166" fontId="17" fillId="4" borderId="169" xfId="0" applyNumberFormat="1" applyFont="1" applyFill="1" applyBorder="1" applyAlignment="1">
      <alignment vertical="center"/>
    </xf>
    <xf numFmtId="166" fontId="19" fillId="2" borderId="65" xfId="0" applyNumberFormat="1" applyFont="1" applyFill="1" applyBorder="1" applyAlignment="1">
      <alignment vertical="center"/>
    </xf>
    <xf numFmtId="166" fontId="16" fillId="4" borderId="164" xfId="0" applyNumberFormat="1" applyFont="1" applyFill="1" applyBorder="1" applyAlignment="1">
      <alignment vertical="center"/>
    </xf>
    <xf numFmtId="164" fontId="0" fillId="2" borderId="136" xfId="0" applyNumberFormat="1" applyFill="1" applyBorder="1" applyAlignment="1">
      <alignment vertical="center" wrapText="1"/>
    </xf>
    <xf numFmtId="165" fontId="0" fillId="2" borderId="137" xfId="0" applyNumberFormat="1" applyFill="1" applyBorder="1" applyAlignment="1">
      <alignment vertical="center" wrapText="1"/>
    </xf>
    <xf numFmtId="49" fontId="0" fillId="2" borderId="137" xfId="0" applyNumberFormat="1" applyFill="1" applyBorder="1" applyAlignment="1">
      <alignment vertical="center"/>
    </xf>
    <xf numFmtId="9" fontId="23" fillId="3" borderId="26" xfId="0" applyNumberFormat="1" applyFont="1" applyFill="1" applyBorder="1" applyAlignment="1">
      <alignment horizontal="right" vertical="center"/>
    </xf>
    <xf numFmtId="10" fontId="23" fillId="2" borderId="70" xfId="2" applyNumberFormat="1" applyFont="1" applyFill="1" applyBorder="1" applyAlignment="1">
      <alignment horizontal="right" vertical="center"/>
    </xf>
    <xf numFmtId="4" fontId="0" fillId="5" borderId="13" xfId="0" applyNumberFormat="1" applyFill="1" applyBorder="1"/>
    <xf numFmtId="4" fontId="0" fillId="2" borderId="13" xfId="0" applyNumberFormat="1" applyFill="1" applyBorder="1"/>
    <xf numFmtId="4" fontId="0" fillId="2" borderId="16" xfId="0" applyNumberFormat="1" applyFill="1" applyBorder="1"/>
    <xf numFmtId="4" fontId="19" fillId="2" borderId="13" xfId="0" applyNumberFormat="1" applyFont="1" applyFill="1" applyBorder="1"/>
    <xf numFmtId="166" fontId="19" fillId="0" borderId="0" xfId="0" applyNumberFormat="1" applyFont="1" applyAlignment="1">
      <alignment horizontal="right"/>
    </xf>
    <xf numFmtId="166" fontId="19" fillId="0" borderId="28" xfId="0" applyNumberFormat="1" applyFont="1" applyBorder="1" applyAlignment="1">
      <alignment horizontal="right"/>
    </xf>
    <xf numFmtId="2" fontId="19" fillId="0" borderId="0" xfId="0" applyNumberFormat="1" applyFont="1" applyAlignment="1">
      <alignment horizontal="right"/>
    </xf>
    <xf numFmtId="166" fontId="18" fillId="0" borderId="0" xfId="0" applyNumberFormat="1" applyFont="1" applyAlignment="1">
      <alignment horizontal="center"/>
    </xf>
    <xf numFmtId="166" fontId="18" fillId="4" borderId="12" xfId="0" applyNumberFormat="1" applyFont="1" applyFill="1" applyBorder="1" applyAlignment="1">
      <alignment horizontal="center" vertical="center" wrapText="1"/>
    </xf>
    <xf numFmtId="14" fontId="18" fillId="4" borderId="13" xfId="0" applyNumberFormat="1" applyFont="1" applyFill="1" applyBorder="1" applyAlignment="1">
      <alignment horizontal="center"/>
    </xf>
    <xf numFmtId="166" fontId="18" fillId="4" borderId="29" xfId="0" applyNumberFormat="1" applyFont="1" applyFill="1" applyBorder="1" applyAlignment="1">
      <alignment horizontal="center"/>
    </xf>
    <xf numFmtId="166" fontId="20" fillId="5" borderId="13" xfId="0" applyNumberFormat="1" applyFont="1" applyFill="1" applyBorder="1"/>
    <xf numFmtId="166" fontId="20" fillId="2" borderId="29" xfId="0" applyNumberFormat="1" applyFont="1" applyFill="1" applyBorder="1"/>
    <xf numFmtId="166" fontId="18" fillId="8" borderId="20" xfId="0" applyNumberFormat="1" applyFont="1" applyFill="1" applyBorder="1"/>
    <xf numFmtId="166" fontId="18" fillId="8" borderId="12" xfId="0" applyNumberFormat="1" applyFont="1" applyFill="1" applyBorder="1"/>
    <xf numFmtId="166" fontId="18" fillId="2" borderId="12" xfId="0" applyNumberFormat="1" applyFont="1" applyFill="1" applyBorder="1"/>
    <xf numFmtId="166" fontId="20" fillId="2" borderId="20" xfId="0" applyNumberFormat="1" applyFont="1" applyFill="1" applyBorder="1"/>
    <xf numFmtId="49" fontId="21" fillId="0" borderId="13" xfId="0" applyNumberFormat="1" applyFont="1" applyBorder="1" applyAlignment="1">
      <alignment vertical="center"/>
    </xf>
    <xf numFmtId="166" fontId="19" fillId="0" borderId="94" xfId="0" applyNumberFormat="1" applyFont="1" applyBorder="1" applyAlignment="1">
      <alignment vertical="center"/>
    </xf>
    <xf numFmtId="165" fontId="19" fillId="0" borderId="13" xfId="0" applyNumberFormat="1" applyFont="1" applyBorder="1" applyAlignment="1">
      <alignment vertical="center"/>
    </xf>
    <xf numFmtId="166" fontId="19" fillId="0" borderId="55" xfId="0" applyNumberFormat="1" applyFont="1" applyBorder="1" applyAlignment="1">
      <alignment vertical="center"/>
    </xf>
    <xf numFmtId="9" fontId="23" fillId="0" borderId="70" xfId="0" applyNumberFormat="1" applyFont="1" applyBorder="1" applyAlignment="1">
      <alignment horizontal="right" vertical="center"/>
    </xf>
    <xf numFmtId="166" fontId="29" fillId="0" borderId="0" xfId="0" applyNumberFormat="1" applyFont="1" applyAlignment="1">
      <alignment vertical="center"/>
    </xf>
    <xf numFmtId="166" fontId="29" fillId="0" borderId="55" xfId="0" applyNumberFormat="1" applyFont="1" applyBorder="1" applyAlignment="1">
      <alignment vertical="center"/>
    </xf>
    <xf numFmtId="49" fontId="23" fillId="0" borderId="70" xfId="0" applyNumberFormat="1" applyFont="1" applyBorder="1" applyAlignment="1">
      <alignment horizontal="right" vertical="center"/>
    </xf>
    <xf numFmtId="164" fontId="19" fillId="0" borderId="54" xfId="0" applyNumberFormat="1" applyFont="1" applyBorder="1" applyAlignment="1">
      <alignment vertical="center" wrapText="1"/>
    </xf>
    <xf numFmtId="49" fontId="23" fillId="0" borderId="13" xfId="0" applyNumberFormat="1" applyFont="1" applyBorder="1" applyAlignment="1">
      <alignment vertical="center"/>
    </xf>
    <xf numFmtId="49" fontId="0" fillId="2" borderId="54" xfId="0" applyNumberFormat="1" applyFill="1" applyBorder="1" applyAlignment="1">
      <alignment vertical="center" wrapText="1"/>
    </xf>
    <xf numFmtId="166" fontId="19" fillId="0" borderId="175" xfId="0" applyNumberFormat="1" applyFont="1" applyBorder="1"/>
    <xf numFmtId="166" fontId="19" fillId="0" borderId="176" xfId="0" applyNumberFormat="1" applyFont="1" applyBorder="1"/>
    <xf numFmtId="166" fontId="19" fillId="0" borderId="177" xfId="0" applyNumberFormat="1" applyFont="1" applyBorder="1"/>
    <xf numFmtId="166" fontId="19" fillId="0" borderId="178" xfId="0" applyNumberFormat="1" applyFont="1" applyBorder="1"/>
    <xf numFmtId="166" fontId="19" fillId="5" borderId="180" xfId="0" applyNumberFormat="1" applyFont="1" applyFill="1" applyBorder="1"/>
    <xf numFmtId="166" fontId="19" fillId="5" borderId="181" xfId="0" applyNumberFormat="1" applyFont="1" applyFill="1" applyBorder="1"/>
    <xf numFmtId="166" fontId="19" fillId="5" borderId="182" xfId="0" applyNumberFormat="1" applyFont="1" applyFill="1" applyBorder="1"/>
    <xf numFmtId="166" fontId="19" fillId="5" borderId="179" xfId="0" applyNumberFormat="1" applyFont="1" applyFill="1" applyBorder="1"/>
    <xf numFmtId="166" fontId="19" fillId="0" borderId="183" xfId="0" applyNumberFormat="1" applyFont="1" applyBorder="1"/>
    <xf numFmtId="166" fontId="19" fillId="5" borderId="185" xfId="0" applyNumberFormat="1" applyFont="1" applyFill="1" applyBorder="1"/>
    <xf numFmtId="166" fontId="19" fillId="0" borderId="184" xfId="0" applyNumberFormat="1" applyFont="1" applyBorder="1"/>
    <xf numFmtId="49" fontId="17" fillId="2" borderId="4" xfId="0" applyNumberFormat="1" applyFont="1" applyFill="1" applyBorder="1" applyAlignment="1">
      <alignment horizontal="center"/>
    </xf>
    <xf numFmtId="49" fontId="17" fillId="2" borderId="0" xfId="0" applyNumberFormat="1" applyFont="1" applyFill="1" applyAlignment="1">
      <alignment horizontal="center"/>
    </xf>
    <xf numFmtId="49" fontId="16" fillId="2" borderId="1" xfId="0" applyNumberFormat="1" applyFont="1" applyFill="1" applyBorder="1" applyAlignment="1">
      <alignment horizontal="center" vertical="center"/>
    </xf>
    <xf numFmtId="164" fontId="16" fillId="2" borderId="2" xfId="0" applyNumberFormat="1" applyFont="1" applyFill="1" applyBorder="1" applyAlignment="1">
      <alignment horizontal="center" vertical="center"/>
    </xf>
    <xf numFmtId="49" fontId="17" fillId="7" borderId="4" xfId="0" applyNumberFormat="1" applyFont="1" applyFill="1" applyBorder="1" applyAlignment="1">
      <alignment horizontal="center"/>
    </xf>
    <xf numFmtId="49" fontId="17" fillId="7" borderId="0" xfId="0" applyNumberFormat="1" applyFont="1" applyFill="1" applyAlignment="1">
      <alignment horizontal="center"/>
    </xf>
    <xf numFmtId="49" fontId="16" fillId="2" borderId="4" xfId="0" applyNumberFormat="1" applyFont="1" applyFill="1" applyBorder="1" applyAlignment="1">
      <alignment horizontal="center"/>
    </xf>
    <xf numFmtId="49" fontId="16" fillId="2" borderId="0" xfId="0" applyNumberFormat="1" applyFont="1" applyFill="1" applyAlignment="1">
      <alignment horizontal="center"/>
    </xf>
    <xf numFmtId="164" fontId="16" fillId="2" borderId="0" xfId="0" applyNumberFormat="1" applyFont="1" applyFill="1" applyAlignment="1">
      <alignment horizontal="center"/>
    </xf>
    <xf numFmtId="15" fontId="17" fillId="7" borderId="0" xfId="0" applyNumberFormat="1" applyFont="1" applyFill="1" applyAlignment="1">
      <alignment horizontal="center"/>
    </xf>
    <xf numFmtId="164" fontId="18" fillId="2" borderId="0" xfId="0" applyNumberFormat="1" applyFont="1" applyFill="1" applyAlignment="1">
      <alignment horizontal="center" wrapText="1"/>
    </xf>
    <xf numFmtId="49" fontId="16" fillId="2" borderId="2" xfId="0" applyNumberFormat="1" applyFont="1" applyFill="1" applyBorder="1" applyAlignment="1">
      <alignment horizontal="center" vertical="center"/>
    </xf>
    <xf numFmtId="15" fontId="17" fillId="2" borderId="0" xfId="0" applyNumberFormat="1" applyFont="1" applyFill="1" applyAlignment="1">
      <alignment horizontal="center"/>
    </xf>
    <xf numFmtId="49" fontId="17" fillId="5" borderId="4" xfId="0" applyNumberFormat="1" applyFont="1" applyFill="1" applyBorder="1" applyAlignment="1">
      <alignment horizontal="center" vertical="center"/>
    </xf>
    <xf numFmtId="49" fontId="17" fillId="5" borderId="0" xfId="0" applyNumberFormat="1" applyFont="1" applyFill="1" applyAlignment="1">
      <alignment horizontal="center" vertical="center"/>
    </xf>
    <xf numFmtId="49" fontId="16" fillId="5" borderId="1" xfId="0" applyNumberFormat="1" applyFont="1" applyFill="1" applyBorder="1" applyAlignment="1">
      <alignment horizontal="center" vertical="center"/>
    </xf>
    <xf numFmtId="164" fontId="16" fillId="5" borderId="2" xfId="0" applyNumberFormat="1" applyFont="1" applyFill="1" applyBorder="1" applyAlignment="1">
      <alignment horizontal="center" vertical="center"/>
    </xf>
    <xf numFmtId="49" fontId="17" fillId="7" borderId="4" xfId="0" applyNumberFormat="1" applyFont="1" applyFill="1" applyBorder="1" applyAlignment="1">
      <alignment horizontal="center" vertical="center"/>
    </xf>
    <xf numFmtId="49" fontId="17" fillId="7" borderId="0" xfId="0" applyNumberFormat="1" applyFont="1" applyFill="1" applyAlignment="1">
      <alignment horizontal="center" vertical="center"/>
    </xf>
    <xf numFmtId="49" fontId="16" fillId="5" borderId="4" xfId="0" applyNumberFormat="1" applyFont="1" applyFill="1" applyBorder="1" applyAlignment="1">
      <alignment horizontal="center" vertical="center"/>
    </xf>
    <xf numFmtId="49" fontId="16" fillId="5" borderId="0" xfId="0" applyNumberFormat="1" applyFont="1" applyFill="1" applyAlignment="1">
      <alignment horizontal="center" vertical="center"/>
    </xf>
    <xf numFmtId="164" fontId="16" fillId="5" borderId="0" xfId="0" applyNumberFormat="1" applyFont="1" applyFill="1" applyAlignment="1">
      <alignment horizontal="center" vertical="center"/>
    </xf>
    <xf numFmtId="15" fontId="17" fillId="5" borderId="0" xfId="0" applyNumberFormat="1" applyFont="1" applyFill="1" applyAlignment="1">
      <alignment horizontal="center" vertical="center"/>
    </xf>
    <xf numFmtId="49" fontId="17" fillId="4" borderId="8" xfId="0" applyNumberFormat="1" applyFont="1" applyFill="1" applyBorder="1" applyAlignment="1">
      <alignment horizontal="left" vertical="center" wrapText="1"/>
    </xf>
    <xf numFmtId="15" fontId="17" fillId="4" borderId="54" xfId="0" applyNumberFormat="1" applyFont="1" applyFill="1" applyBorder="1" applyAlignment="1">
      <alignment horizontal="left" vertical="center" wrapText="1"/>
    </xf>
    <xf numFmtId="49" fontId="17" fillId="4" borderId="38" xfId="0" applyNumberFormat="1" applyFont="1" applyFill="1" applyBorder="1" applyAlignment="1">
      <alignment horizontal="center" vertical="center" wrapText="1"/>
    </xf>
    <xf numFmtId="165" fontId="17" fillId="4" borderId="48" xfId="0" applyNumberFormat="1" applyFont="1" applyFill="1" applyBorder="1" applyAlignment="1">
      <alignment horizontal="center" vertical="center" wrapText="1"/>
    </xf>
    <xf numFmtId="49" fontId="17" fillId="4" borderId="49" xfId="0" applyNumberFormat="1" applyFont="1" applyFill="1" applyBorder="1" applyAlignment="1">
      <alignment horizontal="center" vertical="center" wrapText="1"/>
    </xf>
    <xf numFmtId="165" fontId="17" fillId="4" borderId="50" xfId="0" applyNumberFormat="1" applyFont="1" applyFill="1" applyBorder="1" applyAlignment="1">
      <alignment horizontal="center" vertical="center" wrapText="1"/>
    </xf>
    <xf numFmtId="49" fontId="17" fillId="4" borderId="53" xfId="0" applyNumberFormat="1" applyFont="1" applyFill="1" applyBorder="1" applyAlignment="1">
      <alignment horizontal="center" vertical="center" wrapText="1"/>
    </xf>
    <xf numFmtId="49" fontId="17" fillId="4" borderId="23" xfId="0" applyNumberFormat="1" applyFont="1" applyFill="1" applyBorder="1" applyAlignment="1">
      <alignment horizontal="center" vertical="center"/>
    </xf>
    <xf numFmtId="15" fontId="17" fillId="4" borderId="24" xfId="0" applyNumberFormat="1" applyFont="1" applyFill="1" applyBorder="1" applyAlignment="1">
      <alignment horizontal="center" vertical="center"/>
    </xf>
    <xf numFmtId="15" fontId="17" fillId="4" borderId="43" xfId="0" applyNumberFormat="1" applyFont="1" applyFill="1" applyBorder="1" applyAlignment="1">
      <alignment horizontal="center" vertical="center"/>
    </xf>
    <xf numFmtId="15" fontId="17" fillId="4" borderId="44" xfId="0" applyNumberFormat="1" applyFont="1" applyFill="1" applyBorder="1" applyAlignment="1">
      <alignment horizontal="center" vertical="center"/>
    </xf>
    <xf numFmtId="15" fontId="17" fillId="4" borderId="25" xfId="0" applyNumberFormat="1" applyFont="1" applyFill="1" applyBorder="1" applyAlignment="1">
      <alignment horizontal="center" vertical="center"/>
    </xf>
    <xf numFmtId="49" fontId="17" fillId="4" borderId="23" xfId="0" applyNumberFormat="1" applyFont="1" applyFill="1" applyBorder="1" applyAlignment="1">
      <alignment horizontal="center" vertical="center" wrapText="1"/>
    </xf>
    <xf numFmtId="164" fontId="17" fillId="4" borderId="24" xfId="0" applyNumberFormat="1" applyFont="1" applyFill="1" applyBorder="1" applyAlignment="1">
      <alignment horizontal="center" vertical="center" wrapText="1"/>
    </xf>
    <xf numFmtId="164" fontId="17" fillId="4" borderId="25" xfId="0" applyNumberFormat="1" applyFont="1" applyFill="1" applyBorder="1" applyAlignment="1">
      <alignment horizontal="center" vertical="center" wrapText="1"/>
    </xf>
    <xf numFmtId="49" fontId="17" fillId="4" borderId="45" xfId="0" applyNumberFormat="1" applyFont="1" applyFill="1" applyBorder="1" applyAlignment="1">
      <alignment horizontal="center" vertical="center"/>
    </xf>
    <xf numFmtId="49" fontId="17" fillId="4" borderId="45" xfId="0" applyNumberFormat="1" applyFont="1" applyFill="1" applyBorder="1" applyAlignment="1">
      <alignment horizontal="center" vertical="center" wrapText="1"/>
    </xf>
    <xf numFmtId="164" fontId="17" fillId="4" borderId="43" xfId="0" applyNumberFormat="1" applyFont="1" applyFill="1" applyBorder="1" applyAlignment="1">
      <alignment horizontal="center" vertical="center" wrapText="1"/>
    </xf>
    <xf numFmtId="164" fontId="17" fillId="4" borderId="44" xfId="0" applyNumberFormat="1" applyFont="1" applyFill="1" applyBorder="1" applyAlignment="1">
      <alignment horizontal="center" vertical="center" wrapText="1"/>
    </xf>
    <xf numFmtId="49" fontId="5" fillId="2" borderId="4" xfId="0" applyNumberFormat="1" applyFont="1" applyFill="1" applyBorder="1" applyAlignment="1">
      <alignment horizontal="center"/>
    </xf>
    <xf numFmtId="49" fontId="5" fillId="2" borderId="0" xfId="0" applyNumberFormat="1" applyFont="1" applyFill="1" applyAlignment="1">
      <alignment horizontal="center"/>
    </xf>
    <xf numFmtId="164" fontId="12" fillId="2" borderId="0" xfId="0" applyNumberFormat="1" applyFont="1" applyFill="1" applyAlignment="1">
      <alignment horizontal="center" wrapText="1"/>
    </xf>
    <xf numFmtId="49" fontId="1" fillId="2" borderId="1" xfId="0" applyNumberFormat="1" applyFont="1" applyFill="1" applyBorder="1" applyAlignment="1">
      <alignment horizontal="center" vertical="center"/>
    </xf>
    <xf numFmtId="49" fontId="1" fillId="2" borderId="2"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49" fontId="1" fillId="2" borderId="4" xfId="0" applyNumberFormat="1" applyFont="1" applyFill="1" applyBorder="1" applyAlignment="1">
      <alignment horizontal="center"/>
    </xf>
    <xf numFmtId="49" fontId="1" fillId="2" borderId="0" xfId="0" applyNumberFormat="1" applyFont="1" applyFill="1" applyAlignment="1">
      <alignment horizontal="center"/>
    </xf>
    <xf numFmtId="164" fontId="1" fillId="2" borderId="0" xfId="0" applyNumberFormat="1" applyFont="1" applyFill="1" applyAlignment="1">
      <alignment horizontal="center"/>
    </xf>
    <xf numFmtId="15" fontId="5" fillId="2" borderId="0" xfId="0" applyNumberFormat="1" applyFont="1" applyFill="1" applyAlignment="1">
      <alignment horizontal="center"/>
    </xf>
    <xf numFmtId="15" fontId="17" fillId="7" borderId="0" xfId="0" applyNumberFormat="1" applyFont="1" applyFill="1" applyAlignment="1">
      <alignment horizontal="center" vertical="center"/>
    </xf>
    <xf numFmtId="15" fontId="17" fillId="4" borderId="10" xfId="0" applyNumberFormat="1" applyFont="1" applyFill="1" applyBorder="1" applyAlignment="1">
      <alignment horizontal="left" vertical="center" wrapText="1"/>
    </xf>
    <xf numFmtId="165" fontId="17" fillId="4" borderId="151" xfId="0" applyNumberFormat="1" applyFont="1" applyFill="1" applyBorder="1" applyAlignment="1">
      <alignment horizontal="center" vertical="center" wrapText="1"/>
    </xf>
    <xf numFmtId="165" fontId="17" fillId="4" borderId="150" xfId="0" applyNumberFormat="1" applyFont="1" applyFill="1" applyBorder="1" applyAlignment="1">
      <alignment horizontal="center" vertical="center" wrapText="1"/>
    </xf>
    <xf numFmtId="49" fontId="17" fillId="4" borderId="24" xfId="0" applyNumberFormat="1" applyFont="1" applyFill="1" applyBorder="1" applyAlignment="1">
      <alignment horizontal="center" vertical="center"/>
    </xf>
    <xf numFmtId="0" fontId="19" fillId="0" borderId="19" xfId="0" applyFont="1" applyBorder="1" applyAlignment="1">
      <alignment horizontal="center"/>
    </xf>
    <xf numFmtId="0" fontId="19" fillId="0" borderId="0" xfId="0" applyFont="1" applyAlignment="1">
      <alignment horizontal="center"/>
    </xf>
    <xf numFmtId="15" fontId="17" fillId="4" borderId="77" xfId="0" applyNumberFormat="1" applyFont="1" applyFill="1" applyBorder="1" applyAlignment="1">
      <alignment horizontal="left" vertical="center" wrapText="1"/>
    </xf>
    <xf numFmtId="49" fontId="17" fillId="4" borderId="43" xfId="0" applyNumberFormat="1" applyFont="1" applyFill="1" applyBorder="1" applyAlignment="1">
      <alignment horizontal="center" vertical="center"/>
    </xf>
    <xf numFmtId="49" fontId="17" fillId="4" borderId="43" xfId="0" applyNumberFormat="1" applyFont="1" applyFill="1" applyBorder="1" applyAlignment="1">
      <alignment horizontal="center" vertical="center" wrapText="1"/>
    </xf>
    <xf numFmtId="15" fontId="17" fillId="4" borderId="122" xfId="0" applyNumberFormat="1" applyFont="1" applyFill="1" applyBorder="1" applyAlignment="1">
      <alignment horizontal="left" vertical="center" wrapText="1"/>
    </xf>
    <xf numFmtId="49" fontId="1" fillId="7" borderId="4" xfId="0" applyNumberFormat="1" applyFont="1" applyFill="1" applyBorder="1" applyAlignment="1">
      <alignment horizontal="center"/>
    </xf>
    <xf numFmtId="49" fontId="1" fillId="7" borderId="0" xfId="0" applyNumberFormat="1" applyFont="1" applyFill="1" applyAlignment="1">
      <alignment horizontal="center"/>
    </xf>
    <xf numFmtId="49" fontId="5" fillId="7" borderId="4" xfId="0" applyNumberFormat="1" applyFont="1" applyFill="1" applyBorder="1" applyAlignment="1">
      <alignment horizontal="center"/>
    </xf>
    <xf numFmtId="15" fontId="5" fillId="7" borderId="0" xfId="0" applyNumberFormat="1" applyFont="1" applyFill="1" applyAlignment="1">
      <alignment horizontal="center"/>
    </xf>
    <xf numFmtId="164" fontId="18" fillId="2" borderId="4" xfId="0" applyNumberFormat="1" applyFont="1" applyFill="1" applyBorder="1" applyAlignment="1">
      <alignment horizontal="center" vertical="center"/>
    </xf>
    <xf numFmtId="164" fontId="18" fillId="2" borderId="0" xfId="0" applyNumberFormat="1" applyFont="1" applyFill="1" applyAlignment="1">
      <alignment horizontal="center" vertical="center"/>
    </xf>
    <xf numFmtId="49" fontId="17" fillId="4" borderId="54" xfId="0" applyNumberFormat="1" applyFont="1" applyFill="1" applyBorder="1" applyAlignment="1">
      <alignment horizontal="left" vertical="center" wrapText="1"/>
    </xf>
    <xf numFmtId="49" fontId="17" fillId="4" borderId="50" xfId="0" applyNumberFormat="1" applyFont="1" applyFill="1" applyBorder="1" applyAlignment="1">
      <alignment horizontal="center" vertical="center" wrapText="1"/>
    </xf>
    <xf numFmtId="49" fontId="17" fillId="4" borderId="48" xfId="0" applyNumberFormat="1" applyFont="1" applyFill="1" applyBorder="1" applyAlignment="1">
      <alignment horizontal="center" vertical="center" wrapText="1"/>
    </xf>
    <xf numFmtId="49" fontId="17" fillId="4" borderId="139" xfId="0" applyNumberFormat="1" applyFont="1" applyFill="1" applyBorder="1" applyAlignment="1">
      <alignment horizontal="center" vertical="center"/>
    </xf>
    <xf numFmtId="49" fontId="17" fillId="4" borderId="140" xfId="0" applyNumberFormat="1" applyFont="1" applyFill="1" applyBorder="1" applyAlignment="1">
      <alignment horizontal="center" vertical="center"/>
    </xf>
    <xf numFmtId="49" fontId="17" fillId="4" borderId="141" xfId="0" applyNumberFormat="1" applyFont="1" applyFill="1" applyBorder="1" applyAlignment="1">
      <alignment horizontal="center" vertical="center"/>
    </xf>
    <xf numFmtId="49" fontId="17" fillId="4" borderId="139" xfId="0" applyNumberFormat="1" applyFont="1" applyFill="1" applyBorder="1" applyAlignment="1">
      <alignment horizontal="center" vertical="center" wrapText="1"/>
    </xf>
    <xf numFmtId="49" fontId="17" fillId="4" borderId="140" xfId="0" applyNumberFormat="1" applyFont="1" applyFill="1" applyBorder="1" applyAlignment="1">
      <alignment horizontal="center" vertical="center" wrapText="1"/>
    </xf>
    <xf numFmtId="49" fontId="17" fillId="4" borderId="141" xfId="0" applyNumberFormat="1" applyFont="1" applyFill="1" applyBorder="1" applyAlignment="1">
      <alignment horizontal="center" vertical="center" wrapText="1"/>
    </xf>
    <xf numFmtId="49" fontId="17" fillId="4" borderId="44" xfId="0" applyNumberFormat="1" applyFont="1" applyFill="1" applyBorder="1" applyAlignment="1">
      <alignment horizontal="center" vertical="center"/>
    </xf>
    <xf numFmtId="49" fontId="17" fillId="4" borderId="44" xfId="0" applyNumberFormat="1" applyFont="1" applyFill="1" applyBorder="1" applyAlignment="1">
      <alignment horizontal="center" vertical="center" wrapText="1"/>
    </xf>
    <xf numFmtId="49" fontId="17" fillId="0" borderId="4" xfId="0" applyNumberFormat="1" applyFont="1" applyBorder="1" applyAlignment="1">
      <alignment horizontal="center" vertical="center"/>
    </xf>
    <xf numFmtId="49" fontId="17" fillId="0" borderId="0" xfId="0" applyNumberFormat="1" applyFont="1" applyAlignment="1">
      <alignment horizontal="center" vertical="center"/>
    </xf>
    <xf numFmtId="49" fontId="17" fillId="4" borderId="12" xfId="0" applyNumberFormat="1" applyFont="1" applyFill="1" applyBorder="1" applyAlignment="1">
      <alignment horizontal="left" vertical="center" wrapText="1"/>
    </xf>
    <xf numFmtId="15" fontId="17" fillId="4" borderId="13" xfId="0" applyNumberFormat="1" applyFont="1" applyFill="1" applyBorder="1" applyAlignment="1">
      <alignment horizontal="left" vertical="center" wrapText="1"/>
    </xf>
  </cellXfs>
  <cellStyles count="21">
    <cellStyle name="Comma" xfId="1" builtinId="3"/>
    <cellStyle name="Comma 2" xfId="8" xr:uid="{00000000-0005-0000-0000-000001000000}"/>
    <cellStyle name="Comma 2 2" xfId="15" xr:uid="{00000000-0005-0000-0000-000002000000}"/>
    <cellStyle name="Comma 2 3" xfId="18" xr:uid="{00000000-0005-0000-0000-000003000000}"/>
    <cellStyle name="Comma 3" xfId="9" xr:uid="{00000000-0005-0000-0000-000004000000}"/>
    <cellStyle name="Comma 3 2" xfId="16" xr:uid="{00000000-0005-0000-0000-000005000000}"/>
    <cellStyle name="Comma 4" xfId="10" xr:uid="{00000000-0005-0000-0000-000006000000}"/>
    <cellStyle name="Comma 5" xfId="11" xr:uid="{00000000-0005-0000-0000-000007000000}"/>
    <cellStyle name="Normal" xfId="0" builtinId="0"/>
    <cellStyle name="Normal 10" xfId="19" xr:uid="{00000000-0005-0000-0000-000009000000}"/>
    <cellStyle name="Normal 2" xfId="5" xr:uid="{00000000-0005-0000-0000-00000A000000}"/>
    <cellStyle name="Normal 2 2" xfId="3" xr:uid="{00000000-0005-0000-0000-00000B000000}"/>
    <cellStyle name="Normal 2 2 2" xfId="4" xr:uid="{00000000-0005-0000-0000-00000C000000}"/>
    <cellStyle name="Normal 2 2 3" xfId="7" xr:uid="{00000000-0005-0000-0000-00000D000000}"/>
    <cellStyle name="Normal 2 3" xfId="17" xr:uid="{00000000-0005-0000-0000-00000E000000}"/>
    <cellStyle name="Normal 3" xfId="12" xr:uid="{00000000-0005-0000-0000-00000F000000}"/>
    <cellStyle name="Normal 4" xfId="13" xr:uid="{00000000-0005-0000-0000-000010000000}"/>
    <cellStyle name="Normal 5" xfId="14" xr:uid="{00000000-0005-0000-0000-000011000000}"/>
    <cellStyle name="Normal 56" xfId="20" xr:uid="{00000000-0005-0000-0000-000012000000}"/>
    <cellStyle name="Normal 6" xfId="6" xr:uid="{00000000-0005-0000-0000-000013000000}"/>
    <cellStyle name="Percent" xfId="2" builtinId="5"/>
  </cellStyles>
  <dxfs count="9">
    <dxf>
      <fill>
        <patternFill patternType="solid">
          <fgColor indexed="16"/>
          <bgColor indexed="9"/>
        </patternFill>
      </fill>
    </dxf>
    <dxf>
      <fill>
        <patternFill patternType="solid">
          <fgColor indexed="16"/>
          <bgColor indexed="9"/>
        </patternFill>
      </fill>
    </dxf>
    <dxf>
      <fill>
        <patternFill patternType="solid">
          <fgColor indexed="16"/>
          <bgColor indexed="9"/>
        </patternFill>
      </fill>
    </dxf>
    <dxf>
      <fill>
        <patternFill patternType="solid">
          <fgColor indexed="16"/>
          <bgColor indexed="9"/>
        </patternFill>
      </fill>
    </dxf>
    <dxf>
      <fill>
        <patternFill patternType="solid">
          <fgColor indexed="16"/>
          <bgColor indexed="9"/>
        </patternFill>
      </fill>
    </dxf>
    <dxf>
      <fill>
        <patternFill patternType="solid">
          <fgColor indexed="16"/>
          <bgColor indexed="9"/>
        </patternFill>
      </fill>
    </dxf>
    <dxf>
      <fill>
        <patternFill patternType="solid">
          <fgColor indexed="16"/>
          <bgColor indexed="9"/>
        </patternFill>
      </fill>
    </dxf>
    <dxf>
      <fill>
        <patternFill patternType="solid">
          <fgColor indexed="16"/>
          <bgColor indexed="9"/>
        </patternFill>
      </fill>
    </dxf>
    <dxf>
      <fill>
        <patternFill patternType="solid">
          <fgColor indexed="16"/>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Statutory%20Bodies%20Quarterly%20Reports\Anguilla%20Community%20College\2021\ACC-%20Quarter%204%20December%2031st%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Position"/>
      <sheetName val="Income Statement"/>
      <sheetName val="Financial Ratios"/>
      <sheetName val="BAL Q1-Q4"/>
      <sheetName val="INC Q1 -Q4"/>
    </sheetNames>
    <sheetDataSet>
      <sheetData sheetId="0"/>
      <sheetData sheetId="1"/>
      <sheetData sheetId="2"/>
      <sheetData sheetId="3">
        <row r="17">
          <cell r="D17">
            <v>200</v>
          </cell>
        </row>
      </sheetData>
      <sheetData sheetId="4">
        <row r="26">
          <cell r="E26">
            <v>10075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pageSetUpPr fitToPage="1"/>
  </sheetPr>
  <dimension ref="A1:X79"/>
  <sheetViews>
    <sheetView view="pageBreakPreview" topLeftCell="A24" zoomScale="70" zoomScaleNormal="70" zoomScaleSheetLayoutView="70" workbookViewId="0">
      <pane xSplit="1" topLeftCell="B1" activePane="topRight" state="frozen"/>
      <selection activeCell="A24" sqref="A24"/>
      <selection pane="topRight" activeCell="A33" sqref="A33"/>
    </sheetView>
  </sheetViews>
  <sheetFormatPr defaultColWidth="8.85546875" defaultRowHeight="15.75" customHeight="1" x14ac:dyDescent="0.3"/>
  <cols>
    <col min="1" max="1" width="64.42578125" style="49" customWidth="1"/>
    <col min="2" max="2" width="20.85546875" style="414" customWidth="1"/>
    <col min="3" max="4" width="18.7109375" style="414" customWidth="1"/>
    <col min="5" max="5" width="18.7109375" style="716" customWidth="1"/>
    <col min="6" max="6" width="18.7109375" style="414" customWidth="1"/>
    <col min="7" max="7" width="18.7109375" style="837" customWidth="1"/>
    <col min="8" max="9" width="18.7109375" style="414" customWidth="1"/>
    <col min="10" max="10" width="15.85546875" style="48" customWidth="1"/>
    <col min="11" max="11" width="18.7109375" style="414" customWidth="1"/>
    <col min="12" max="12" width="18.7109375" style="742" customWidth="1"/>
    <col min="13" max="14" width="18.7109375" style="414" customWidth="1"/>
    <col min="15" max="15" width="14.85546875" style="49" customWidth="1"/>
    <col min="16" max="235" width="8.85546875" style="49" customWidth="1"/>
    <col min="236" max="16384" width="8.85546875" style="49"/>
  </cols>
  <sheetData>
    <row r="1" spans="1:24" ht="18.75" customHeight="1" x14ac:dyDescent="0.3">
      <c r="A1" s="1418" t="s">
        <v>49</v>
      </c>
      <c r="B1" s="1427"/>
      <c r="C1" s="1419"/>
      <c r="D1" s="735"/>
    </row>
    <row r="2" spans="1:24" ht="18.75" customHeight="1" x14ac:dyDescent="0.3">
      <c r="A2" s="50"/>
      <c r="B2" s="387"/>
      <c r="C2" s="357"/>
      <c r="D2" s="357"/>
    </row>
    <row r="3" spans="1:24" s="52" customFormat="1" ht="18.75" customHeight="1" x14ac:dyDescent="0.3">
      <c r="A3" s="1416" t="s">
        <v>134</v>
      </c>
      <c r="B3" s="1417"/>
      <c r="C3" s="1417"/>
      <c r="D3" s="736"/>
      <c r="E3" s="869"/>
      <c r="F3" s="729"/>
      <c r="G3" s="837"/>
      <c r="H3" s="729"/>
      <c r="I3" s="729"/>
      <c r="J3" s="51"/>
      <c r="K3" s="729"/>
      <c r="L3" s="742"/>
      <c r="M3" s="729"/>
      <c r="N3" s="729"/>
    </row>
    <row r="4" spans="1:24" ht="18.75" customHeight="1" x14ac:dyDescent="0.3">
      <c r="A4" s="1422" t="s">
        <v>0</v>
      </c>
      <c r="B4" s="1423"/>
      <c r="C4" s="1423"/>
      <c r="D4" s="737"/>
    </row>
    <row r="5" spans="1:24" ht="18.75" customHeight="1" x14ac:dyDescent="0.3">
      <c r="A5" s="1422" t="s">
        <v>1</v>
      </c>
      <c r="B5" s="1423"/>
      <c r="C5" s="1424"/>
      <c r="D5" s="737"/>
    </row>
    <row r="6" spans="1:24" ht="18.75" customHeight="1" x14ac:dyDescent="0.3">
      <c r="A6" s="1416" t="s">
        <v>237</v>
      </c>
      <c r="B6" s="1417"/>
      <c r="C6" s="1428"/>
      <c r="D6" s="736"/>
      <c r="E6" s="1426" t="s">
        <v>133</v>
      </c>
      <c r="F6" s="1426"/>
      <c r="G6" s="1426"/>
      <c r="H6" s="1426"/>
      <c r="I6" s="1426"/>
      <c r="J6" s="1426"/>
      <c r="K6" s="1426"/>
      <c r="L6" s="1426"/>
      <c r="M6" s="1426"/>
      <c r="N6" s="1426"/>
      <c r="O6" s="1426"/>
      <c r="P6" s="1426"/>
      <c r="Q6" s="1426"/>
      <c r="R6" s="1426"/>
      <c r="S6" s="1426"/>
      <c r="T6" s="1426"/>
      <c r="U6" s="1426"/>
      <c r="V6" s="1426"/>
      <c r="W6" s="1426"/>
      <c r="X6" s="1426"/>
    </row>
    <row r="7" spans="1:24" ht="18.75" customHeight="1" x14ac:dyDescent="0.3">
      <c r="A7" s="1416" t="s">
        <v>2</v>
      </c>
      <c r="B7" s="1417"/>
      <c r="C7" s="1417"/>
      <c r="D7" s="736"/>
    </row>
    <row r="8" spans="1:24" ht="16.5" customHeight="1" thickBot="1" x14ac:dyDescent="0.35">
      <c r="A8" s="53"/>
      <c r="B8" s="737" t="s">
        <v>137</v>
      </c>
      <c r="C8" s="737" t="s">
        <v>144</v>
      </c>
      <c r="D8" s="737" t="s">
        <v>139</v>
      </c>
      <c r="E8" s="870" t="s">
        <v>138</v>
      </c>
      <c r="F8" s="738" t="s">
        <v>162</v>
      </c>
      <c r="G8" s="1023" t="s">
        <v>136</v>
      </c>
      <c r="H8" s="738" t="s">
        <v>141</v>
      </c>
      <c r="I8" s="738" t="s">
        <v>135</v>
      </c>
      <c r="J8" s="54" t="s">
        <v>161</v>
      </c>
      <c r="K8" s="730" t="s">
        <v>50</v>
      </c>
      <c r="L8" s="1384" t="s">
        <v>140</v>
      </c>
      <c r="M8" s="1384" t="s">
        <v>143</v>
      </c>
      <c r="N8" s="1384" t="s">
        <v>142</v>
      </c>
    </row>
    <row r="9" spans="1:24" ht="17.45" customHeight="1" x14ac:dyDescent="0.3">
      <c r="A9" s="55"/>
      <c r="B9" s="739"/>
      <c r="C9" s="360" t="s">
        <v>3</v>
      </c>
      <c r="D9" s="360" t="s">
        <v>3</v>
      </c>
      <c r="E9" s="360" t="s">
        <v>3</v>
      </c>
      <c r="F9" s="360" t="s">
        <v>3</v>
      </c>
      <c r="G9" s="56" t="s">
        <v>3</v>
      </c>
      <c r="H9" s="360" t="s">
        <v>3</v>
      </c>
      <c r="I9" s="360" t="s">
        <v>3</v>
      </c>
      <c r="J9" s="57" t="s">
        <v>3</v>
      </c>
      <c r="K9" s="360" t="s">
        <v>3</v>
      </c>
      <c r="L9" s="1385" t="s">
        <v>3</v>
      </c>
      <c r="M9" s="1385" t="s">
        <v>3</v>
      </c>
      <c r="N9" s="1385" t="s">
        <v>3</v>
      </c>
    </row>
    <row r="10" spans="1:24" s="60" customFormat="1" ht="15" customHeight="1" x14ac:dyDescent="0.3">
      <c r="A10" s="58"/>
      <c r="B10" s="799"/>
      <c r="C10" s="59">
        <v>45291</v>
      </c>
      <c r="D10" s="59">
        <v>45291</v>
      </c>
      <c r="E10" s="59">
        <v>45291</v>
      </c>
      <c r="F10" s="59">
        <v>45291</v>
      </c>
      <c r="G10" s="59">
        <v>45291</v>
      </c>
      <c r="H10" s="59">
        <v>45291</v>
      </c>
      <c r="I10" s="59">
        <v>45291</v>
      </c>
      <c r="J10" s="59">
        <v>45291</v>
      </c>
      <c r="K10" s="59">
        <v>45291</v>
      </c>
      <c r="L10" s="1386">
        <v>45291</v>
      </c>
      <c r="M10" s="1386">
        <v>45291</v>
      </c>
      <c r="N10" s="1386">
        <v>45291</v>
      </c>
    </row>
    <row r="11" spans="1:24" ht="15" customHeight="1" thickBot="1" x14ac:dyDescent="0.35">
      <c r="A11" s="61"/>
      <c r="B11" s="740"/>
      <c r="C11" s="731" t="s">
        <v>107</v>
      </c>
      <c r="D11" s="731" t="s">
        <v>107</v>
      </c>
      <c r="E11" s="731" t="s">
        <v>107</v>
      </c>
      <c r="F11" s="731" t="s">
        <v>107</v>
      </c>
      <c r="G11" s="1024" t="s">
        <v>107</v>
      </c>
      <c r="H11" s="731" t="s">
        <v>107</v>
      </c>
      <c r="I11" s="731" t="s">
        <v>107</v>
      </c>
      <c r="J11" s="62" t="s">
        <v>107</v>
      </c>
      <c r="K11" s="731" t="s">
        <v>107</v>
      </c>
      <c r="L11" s="1387"/>
      <c r="M11" s="1387" t="s">
        <v>107</v>
      </c>
      <c r="N11" s="1387" t="s">
        <v>107</v>
      </c>
    </row>
    <row r="12" spans="1:24" ht="15" customHeight="1" x14ac:dyDescent="0.3">
      <c r="A12" s="63" t="s">
        <v>4</v>
      </c>
      <c r="B12" s="366"/>
      <c r="C12" s="366"/>
      <c r="D12" s="366"/>
      <c r="E12" s="750"/>
      <c r="F12" s="366"/>
      <c r="G12" s="838"/>
      <c r="H12" s="366"/>
      <c r="I12" s="366"/>
      <c r="J12" s="64"/>
      <c r="K12" s="366"/>
      <c r="L12" s="743"/>
      <c r="M12" s="743"/>
      <c r="N12" s="743"/>
    </row>
    <row r="13" spans="1:24" ht="15" customHeight="1" x14ac:dyDescent="0.3">
      <c r="A13" s="65" t="s">
        <v>5</v>
      </c>
      <c r="B13" s="371"/>
      <c r="C13" s="371"/>
      <c r="D13" s="371"/>
      <c r="E13" s="711"/>
      <c r="F13" s="371"/>
      <c r="G13" s="839"/>
      <c r="H13" s="371"/>
      <c r="I13" s="371"/>
      <c r="J13" s="67"/>
      <c r="K13" s="371"/>
      <c r="L13" s="744"/>
      <c r="M13" s="744"/>
      <c r="N13" s="744"/>
    </row>
    <row r="14" spans="1:24" ht="15" customHeight="1" x14ac:dyDescent="0.3">
      <c r="A14" s="68" t="s">
        <v>6</v>
      </c>
      <c r="B14" s="371">
        <f>C14+D14+E14+F14+H14+I14+J14+K14+M14+N14+G14</f>
        <v>49905563.158407845</v>
      </c>
      <c r="C14" s="371">
        <f>'ADB Fin. Postition '!F14</f>
        <v>5484965</v>
      </c>
      <c r="D14" s="371">
        <f>'ATB Fin. Position'!F14</f>
        <v>2415351.42</v>
      </c>
      <c r="E14" s="711">
        <f>'AASPA Fin. Position'!F14</f>
        <v>1280095.81</v>
      </c>
      <c r="F14" s="711">
        <f>'ACC Fin. Position'!F14</f>
        <v>1798008.4999999998</v>
      </c>
      <c r="G14" s="711">
        <f>'ANT Fin. Position'!F14</f>
        <v>565962.43999999994</v>
      </c>
      <c r="H14" s="711">
        <f>'PSPF Fin. Position'!F14</f>
        <v>4714982.5</v>
      </c>
      <c r="I14" s="711">
        <f>'AFSC Fin. Position'!F14</f>
        <v>19022130.435626</v>
      </c>
      <c r="J14" s="1054">
        <f>'PUC Fin. Position'!F14</f>
        <v>0.48278184000000002</v>
      </c>
      <c r="K14" s="711">
        <f>'ASSB Fin. Position'!F14</f>
        <v>14624066.57</v>
      </c>
      <c r="L14" s="1388">
        <f>'HAA Fin. Position'!F14</f>
        <v>719199.22</v>
      </c>
      <c r="M14" s="744"/>
      <c r="N14" s="744"/>
      <c r="O14" s="69"/>
    </row>
    <row r="15" spans="1:24" ht="15" customHeight="1" x14ac:dyDescent="0.3">
      <c r="A15" s="70" t="s">
        <v>7</v>
      </c>
      <c r="B15" s="371">
        <f t="shared" ref="B15:B19" si="0">C15+D15+E15+F15+H15+I15+J15+K15+M15+N15+G15</f>
        <v>12009720.21793779</v>
      </c>
      <c r="C15" s="371">
        <f>'ADB Fin. Postition '!F15</f>
        <v>0</v>
      </c>
      <c r="D15" s="371">
        <f>'ATB Fin. Position'!F15</f>
        <v>2114008.64</v>
      </c>
      <c r="E15" s="711">
        <f>'AASPA Fin. Position'!F15</f>
        <v>5590238.1799999997</v>
      </c>
      <c r="F15" s="711">
        <f>'ACC Fin. Position'!F15</f>
        <v>188974.83</v>
      </c>
      <c r="G15" s="711">
        <f>'ANT Fin. Position'!F15</f>
        <v>0</v>
      </c>
      <c r="H15" s="711">
        <f>'PSPF Fin. Position'!F15</f>
        <v>0</v>
      </c>
      <c r="I15" s="711">
        <f>'AFSC Fin. Position'!F15</f>
        <v>0</v>
      </c>
      <c r="J15" s="1054">
        <f>'PUC Fin. Position'!F15</f>
        <v>7.9377900000000001E-3</v>
      </c>
      <c r="K15" s="711">
        <f>'ASSB Fin. Position'!F15</f>
        <v>4116498.56</v>
      </c>
      <c r="L15" s="1388">
        <f>'HAA Fin. Position'!F15</f>
        <v>0</v>
      </c>
      <c r="M15" s="744"/>
      <c r="N15" s="744"/>
    </row>
    <row r="16" spans="1:24" ht="15" customHeight="1" x14ac:dyDescent="0.3">
      <c r="A16" s="70" t="s">
        <v>8</v>
      </c>
      <c r="B16" s="371">
        <f t="shared" si="0"/>
        <v>4774405.968204</v>
      </c>
      <c r="C16" s="371">
        <f>'ADB Fin. Postition '!F16</f>
        <v>0</v>
      </c>
      <c r="D16" s="371">
        <f>'ATB Fin. Position'!F16</f>
        <v>475624.2</v>
      </c>
      <c r="E16" s="711">
        <f>'AASPA Fin. Position'!F16</f>
        <v>-3489.08</v>
      </c>
      <c r="F16" s="711">
        <f>'ACC Fin. Position'!F16</f>
        <v>812490.75</v>
      </c>
      <c r="G16" s="711">
        <f>'ANT Fin. Position'!F16</f>
        <v>0</v>
      </c>
      <c r="H16" s="711">
        <f>'PSPF Fin. Position'!F16</f>
        <v>0</v>
      </c>
      <c r="I16" s="711">
        <f>'AFSC Fin. Position'!F16</f>
        <v>137647.96378200001</v>
      </c>
      <c r="J16" s="1054">
        <f>'PUC Fin. Position'!F16</f>
        <v>4.4219999999999997E-3</v>
      </c>
      <c r="K16" s="711">
        <f>'ASSB Fin. Position'!F16</f>
        <v>3352132.13</v>
      </c>
      <c r="L16" s="1388">
        <f>'HAA Fin. Position'!F16</f>
        <v>0</v>
      </c>
      <c r="M16" s="744"/>
      <c r="N16" s="744"/>
    </row>
    <row r="17" spans="1:14" ht="15" customHeight="1" x14ac:dyDescent="0.3">
      <c r="A17" s="70" t="s">
        <v>9</v>
      </c>
      <c r="B17" s="371">
        <f t="shared" si="0"/>
        <v>21233.42</v>
      </c>
      <c r="C17" s="371">
        <f>'ADB Fin. Postition '!F17</f>
        <v>0</v>
      </c>
      <c r="D17" s="371">
        <f>'ATB Fin. Position'!F17</f>
        <v>0</v>
      </c>
      <c r="E17" s="711">
        <f>'AASPA Fin. Position'!F17</f>
        <v>0</v>
      </c>
      <c r="F17" s="711">
        <f>'ACC Fin. Position'!F17</f>
        <v>0</v>
      </c>
      <c r="G17" s="711">
        <f>'ANT Fin. Position'!F17</f>
        <v>0</v>
      </c>
      <c r="H17" s="711">
        <f>'PSPF Fin. Position'!F17</f>
        <v>0</v>
      </c>
      <c r="I17" s="711">
        <f>'AFSC Fin. Position'!F17</f>
        <v>0</v>
      </c>
      <c r="J17" s="1054">
        <f>'PUC Fin. Position'!F17</f>
        <v>0</v>
      </c>
      <c r="K17" s="711">
        <f>'ASSB Fin. Position'!F17</f>
        <v>21233.42</v>
      </c>
      <c r="L17" s="1388">
        <f>'HAA Fin. Position'!F17</f>
        <v>0</v>
      </c>
      <c r="M17" s="744"/>
      <c r="N17" s="744"/>
    </row>
    <row r="18" spans="1:14" ht="15" customHeight="1" x14ac:dyDescent="0.3">
      <c r="A18" s="70" t="s">
        <v>10</v>
      </c>
      <c r="B18" s="371">
        <f t="shared" si="0"/>
        <v>5547836.2491008705</v>
      </c>
      <c r="C18" s="371">
        <f>'ADB Fin. Postition '!F18</f>
        <v>1287434</v>
      </c>
      <c r="D18" s="371">
        <f>'ATB Fin. Position'!F18</f>
        <v>-688113.87</v>
      </c>
      <c r="E18" s="711">
        <f>'AASPA Fin. Position'!F18</f>
        <v>551650.82999999996</v>
      </c>
      <c r="F18" s="711">
        <f>'ACC Fin. Position'!F18</f>
        <v>2835.58</v>
      </c>
      <c r="G18" s="711">
        <f>'ANT Fin. Position'!F18</f>
        <v>0</v>
      </c>
      <c r="H18" s="711">
        <f>'PSPF Fin. Position'!F18</f>
        <v>1148459.1599999999</v>
      </c>
      <c r="I18" s="711">
        <f>'AFSC Fin. Position'!F18</f>
        <v>46477.848956000002</v>
      </c>
      <c r="J18" s="1054">
        <f>'PUC Fin. Position'!F18</f>
        <v>1.4487000000000001E-4</v>
      </c>
      <c r="K18" s="711">
        <f>'ASSB Fin. Position'!F18</f>
        <v>3199092.7</v>
      </c>
      <c r="L18" s="1388">
        <f>'HAA Fin. Position'!F18</f>
        <v>0</v>
      </c>
      <c r="M18" s="744"/>
      <c r="N18" s="744"/>
    </row>
    <row r="19" spans="1:14" ht="15" customHeight="1" thickBot="1" x14ac:dyDescent="0.35">
      <c r="A19" s="71" t="s">
        <v>11</v>
      </c>
      <c r="B19" s="371">
        <f t="shared" si="0"/>
        <v>110948.47</v>
      </c>
      <c r="C19" s="371">
        <f>'ADB Fin. Postition '!F19</f>
        <v>0</v>
      </c>
      <c r="D19" s="371">
        <f>'ATB Fin. Position'!F19</f>
        <v>0</v>
      </c>
      <c r="E19" s="711">
        <f>'AASPA Fin. Position'!F19</f>
        <v>13322.07</v>
      </c>
      <c r="F19" s="711">
        <f>'ACC Fin. Position'!F19</f>
        <v>0</v>
      </c>
      <c r="G19" s="711">
        <f>'ANT Fin. Position'!F19</f>
        <v>0</v>
      </c>
      <c r="H19" s="711">
        <f>'PSPF Fin. Position'!F19</f>
        <v>0</v>
      </c>
      <c r="I19" s="711">
        <f>'AFSC Fin. Position'!F19</f>
        <v>0</v>
      </c>
      <c r="J19" s="1054">
        <f>'PUC Fin. Position'!F19</f>
        <v>0</v>
      </c>
      <c r="K19" s="711">
        <f>'ASSB Fin. Position'!F19</f>
        <v>97626.4</v>
      </c>
      <c r="L19" s="1388">
        <f>'HAA Fin. Position'!F19</f>
        <v>0</v>
      </c>
      <c r="M19" s="744"/>
      <c r="N19" s="1389"/>
    </row>
    <row r="20" spans="1:14" ht="15" customHeight="1" thickBot="1" x14ac:dyDescent="0.35">
      <c r="A20" s="874" t="s">
        <v>12</v>
      </c>
      <c r="B20" s="875">
        <f>SUM(B14:B19)</f>
        <v>72369707.483650506</v>
      </c>
      <c r="C20" s="875">
        <f t="shared" ref="C20:N20" si="1">SUM(C14:C19)</f>
        <v>6772399</v>
      </c>
      <c r="D20" s="875">
        <f t="shared" si="1"/>
        <v>4316870.3900000006</v>
      </c>
      <c r="E20" s="875">
        <f t="shared" si="1"/>
        <v>7431817.8100000005</v>
      </c>
      <c r="F20" s="875">
        <f t="shared" si="1"/>
        <v>2802309.66</v>
      </c>
      <c r="G20" s="1025">
        <f>SUM(G14:G19)</f>
        <v>565962.43999999994</v>
      </c>
      <c r="H20" s="875">
        <f>SUM(H14:H19)</f>
        <v>5863441.6600000001</v>
      </c>
      <c r="I20" s="875">
        <f t="shared" si="1"/>
        <v>19206256.248364002</v>
      </c>
      <c r="J20" s="1055">
        <f>SUM(J14:J19)</f>
        <v>0.49528650000000002</v>
      </c>
      <c r="K20" s="875">
        <f t="shared" si="1"/>
        <v>25410649.779999997</v>
      </c>
      <c r="L20" s="1390">
        <f t="shared" si="1"/>
        <v>719199.22</v>
      </c>
      <c r="M20" s="1390">
        <f t="shared" si="1"/>
        <v>0</v>
      </c>
      <c r="N20" s="1390">
        <f t="shared" si="1"/>
        <v>0</v>
      </c>
    </row>
    <row r="21" spans="1:14" ht="15" customHeight="1" x14ac:dyDescent="0.3">
      <c r="A21" s="72"/>
      <c r="B21" s="733"/>
      <c r="C21" s="733"/>
      <c r="D21" s="366"/>
      <c r="E21" s="871"/>
      <c r="F21" s="733"/>
      <c r="G21" s="838"/>
      <c r="H21" s="733"/>
      <c r="I21" s="750"/>
      <c r="J21" s="64"/>
      <c r="K21" s="366"/>
      <c r="L21" s="743"/>
      <c r="M21" s="743"/>
      <c r="N21" s="743"/>
    </row>
    <row r="22" spans="1:14" ht="15" customHeight="1" x14ac:dyDescent="0.3">
      <c r="A22" s="73" t="s">
        <v>13</v>
      </c>
      <c r="B22" s="385"/>
      <c r="C22" s="385"/>
      <c r="D22" s="371"/>
      <c r="E22" s="401"/>
      <c r="F22" s="385"/>
      <c r="G22" s="840"/>
      <c r="H22" s="385"/>
      <c r="I22" s="719"/>
      <c r="J22" s="67"/>
      <c r="K22" s="371"/>
      <c r="L22" s="744"/>
      <c r="M22" s="744"/>
      <c r="N22" s="744"/>
    </row>
    <row r="23" spans="1:14" ht="15" customHeight="1" x14ac:dyDescent="0.3">
      <c r="A23" s="70" t="s">
        <v>14</v>
      </c>
      <c r="B23" s="371">
        <f>C23+D23+E23+F23+G23+H23+I23+J23+K23+M23+N23</f>
        <v>930399.35</v>
      </c>
      <c r="C23" s="665">
        <f>'ADB Fin. Postition '!F23</f>
        <v>0</v>
      </c>
      <c r="D23" s="371">
        <f>'ATB Fin. Position'!F23</f>
        <v>0</v>
      </c>
      <c r="E23" s="401">
        <f>'AASPA Fin. Position'!F23</f>
        <v>930399.35</v>
      </c>
      <c r="F23" s="385">
        <f>'ACC Fin. Position'!F23</f>
        <v>0</v>
      </c>
      <c r="G23" s="1027">
        <f>'ANT Fin. Position'!F23</f>
        <v>0</v>
      </c>
      <c r="H23" s="385">
        <f>'PSPF Fin. Position'!F23</f>
        <v>0</v>
      </c>
      <c r="I23" s="371">
        <f>'AFSC Fin. Position'!F23</f>
        <v>0</v>
      </c>
      <c r="J23" s="1050">
        <f>'PUC Fin. Position'!F23</f>
        <v>0</v>
      </c>
      <c r="K23" s="371">
        <f>'ASSB Fin. Position'!F23</f>
        <v>0</v>
      </c>
      <c r="L23" s="744">
        <f>'HAA Fin. Position'!F23</f>
        <v>0</v>
      </c>
      <c r="M23" s="744"/>
      <c r="N23" s="744"/>
    </row>
    <row r="24" spans="1:14" ht="15" customHeight="1" x14ac:dyDescent="0.3">
      <c r="A24" s="70" t="s">
        <v>15</v>
      </c>
      <c r="B24" s="371">
        <f t="shared" ref="B24:B29" si="2">C24+D24+E24+F24+G24+H24+I24+J24+K24+M24+N24</f>
        <v>22226511.68</v>
      </c>
      <c r="C24" s="665">
        <f>'ADB Fin. Postition '!F24</f>
        <v>0</v>
      </c>
      <c r="D24" s="371">
        <f>'ATB Fin. Position'!F24</f>
        <v>0</v>
      </c>
      <c r="E24" s="401">
        <f>'AASPA Fin. Position'!F24</f>
        <v>0</v>
      </c>
      <c r="F24" s="385">
        <f>'ACC Fin. Position'!F24</f>
        <v>0</v>
      </c>
      <c r="G24" s="1027">
        <f>'ANT Fin. Position'!F24</f>
        <v>0</v>
      </c>
      <c r="H24" s="385">
        <f>'PSPF Fin. Position'!F24</f>
        <v>0</v>
      </c>
      <c r="I24" s="371">
        <f>'AFSC Fin. Position'!F24</f>
        <v>0</v>
      </c>
      <c r="J24" s="1050">
        <f>'PUC Fin. Position'!F24</f>
        <v>0</v>
      </c>
      <c r="K24" s="371">
        <f>'ASSB Fin. Position'!F24</f>
        <v>22226511.68</v>
      </c>
      <c r="L24" s="744">
        <f>'HAA Fin. Position'!F24</f>
        <v>0</v>
      </c>
      <c r="M24" s="744"/>
      <c r="N24" s="744"/>
    </row>
    <row r="25" spans="1:14" ht="15" customHeight="1" x14ac:dyDescent="0.3">
      <c r="A25" s="70" t="s">
        <v>16</v>
      </c>
      <c r="B25" s="371">
        <f t="shared" si="2"/>
        <v>120781263.2</v>
      </c>
      <c r="C25" s="665">
        <f>'ADB Fin. Postition '!F25</f>
        <v>0</v>
      </c>
      <c r="D25" s="371">
        <f>'ATB Fin. Position'!F25</f>
        <v>0</v>
      </c>
      <c r="E25" s="401">
        <f>'AASPA Fin. Position'!F25</f>
        <v>0</v>
      </c>
      <c r="F25" s="385">
        <f>'ACC Fin. Position'!F25</f>
        <v>0</v>
      </c>
      <c r="G25" s="1027">
        <f>'ANT Fin. Position'!F25</f>
        <v>181009.89</v>
      </c>
      <c r="H25" s="385">
        <f>'PSPF Fin. Position'!F25</f>
        <v>0</v>
      </c>
      <c r="I25" s="371">
        <f>'AFSC Fin. Position'!F25</f>
        <v>0</v>
      </c>
      <c r="J25" s="1050">
        <f>'PUC Fin. Position'!F25</f>
        <v>0</v>
      </c>
      <c r="K25" s="371">
        <f>'ASSB Fin. Position'!F25</f>
        <v>120600253.31</v>
      </c>
      <c r="L25" s="744">
        <f>'HAA Fin. Position'!F25</f>
        <v>0</v>
      </c>
      <c r="M25" s="744"/>
      <c r="N25" s="744"/>
    </row>
    <row r="26" spans="1:14" ht="15" customHeight="1" x14ac:dyDescent="0.3">
      <c r="A26" s="70" t="s">
        <v>17</v>
      </c>
      <c r="B26" s="371">
        <f t="shared" si="2"/>
        <v>43877385.30035001</v>
      </c>
      <c r="C26" s="665">
        <f>'ADB Fin. Postition '!F26</f>
        <v>0</v>
      </c>
      <c r="D26" s="371">
        <f>'ATB Fin. Position'!F26</f>
        <v>0</v>
      </c>
      <c r="E26" s="401">
        <f>'AASPA Fin. Position'!F26</f>
        <v>7013030.8099999996</v>
      </c>
      <c r="F26" s="385">
        <f>'ACC Fin. Position'!F26</f>
        <v>351478.4</v>
      </c>
      <c r="G26" s="1027">
        <f>'ANT Fin. Position'!F26</f>
        <v>0</v>
      </c>
      <c r="H26" s="385">
        <f>'PSPF Fin. Position'!F26</f>
        <v>11445339.65</v>
      </c>
      <c r="I26" s="371">
        <f>'AFSC Fin. Position'!F26</f>
        <v>0</v>
      </c>
      <c r="J26" s="1050">
        <f>'PUC Fin. Position'!F26</f>
        <v>0.24035001</v>
      </c>
      <c r="K26" s="371">
        <f>'ASSB Fin. Position'!F26</f>
        <v>25067536.199999999</v>
      </c>
      <c r="L26" s="744">
        <f>'HAA Fin. Position'!F26</f>
        <v>0</v>
      </c>
      <c r="M26" s="744"/>
      <c r="N26" s="744"/>
    </row>
    <row r="27" spans="1:14" ht="15" customHeight="1" x14ac:dyDescent="0.3">
      <c r="A27" s="70" t="s">
        <v>119</v>
      </c>
      <c r="B27" s="371">
        <f t="shared" si="2"/>
        <v>21271692.27</v>
      </c>
      <c r="C27" s="665">
        <f>'ADB Fin. Postition '!F27</f>
        <v>13089576</v>
      </c>
      <c r="D27" s="371">
        <f>'ATB Fin. Position'!F27</f>
        <v>0</v>
      </c>
      <c r="E27" s="401">
        <f>'AASPA Fin. Position'!F27</f>
        <v>0</v>
      </c>
      <c r="F27" s="385">
        <f>'ACC Fin. Position'!F27</f>
        <v>0</v>
      </c>
      <c r="G27" s="1027">
        <f>'ANT Fin. Position'!F27</f>
        <v>0</v>
      </c>
      <c r="H27" s="385">
        <f>'PSPF Fin. Position'!F27</f>
        <v>8173861.7699999996</v>
      </c>
      <c r="I27" s="371">
        <f>'AFSC Fin. Position'!F27</f>
        <v>0</v>
      </c>
      <c r="J27" s="1050">
        <f>'PUC Fin. Position'!F27</f>
        <v>0</v>
      </c>
      <c r="K27" s="371">
        <f>'ASSB Fin. Position'!F27</f>
        <v>8254.5</v>
      </c>
      <c r="L27" s="744">
        <f>'HAA Fin. Position'!F27</f>
        <v>0</v>
      </c>
      <c r="M27" s="744"/>
      <c r="N27" s="744"/>
    </row>
    <row r="28" spans="1:14" ht="15" customHeight="1" x14ac:dyDescent="0.3">
      <c r="A28" s="70" t="s">
        <v>118</v>
      </c>
      <c r="B28" s="371">
        <f t="shared" si="2"/>
        <v>191021892.48000002</v>
      </c>
      <c r="C28" s="665">
        <f>'ADB Fin. Postition '!F28</f>
        <v>0</v>
      </c>
      <c r="D28" s="371">
        <f>'ATB Fin. Position'!F28</f>
        <v>0</v>
      </c>
      <c r="E28" s="401">
        <f>'AASPA Fin. Position'!F28</f>
        <v>0</v>
      </c>
      <c r="F28" s="385">
        <f>'ACC Fin. Position'!F28</f>
        <v>0</v>
      </c>
      <c r="G28" s="1027">
        <f>'ANT Fin. Position'!F28</f>
        <v>0</v>
      </c>
      <c r="H28" s="385">
        <f>'PSPF Fin. Position'!F28</f>
        <v>7985127.6500000004</v>
      </c>
      <c r="I28" s="371">
        <f>'AFSC Fin. Position'!F28</f>
        <v>0</v>
      </c>
      <c r="J28" s="1050">
        <f>'PUC Fin. Position'!F28</f>
        <v>0</v>
      </c>
      <c r="K28" s="371">
        <f>'ASSB Fin. Position'!F28</f>
        <v>183036764.83000001</v>
      </c>
      <c r="L28" s="744">
        <f>'HAA Fin. Position'!F28</f>
        <v>0</v>
      </c>
      <c r="M28" s="744"/>
      <c r="N28" s="744"/>
    </row>
    <row r="29" spans="1:14" ht="15" customHeight="1" thickBot="1" x14ac:dyDescent="0.35">
      <c r="A29" s="71" t="s">
        <v>18</v>
      </c>
      <c r="B29" s="371">
        <f t="shared" si="2"/>
        <v>6002058.1999999993</v>
      </c>
      <c r="C29" s="665">
        <f>'ADB Fin. Postition '!F29</f>
        <v>0</v>
      </c>
      <c r="D29" s="371">
        <f>'ATB Fin. Position'!F29</f>
        <v>0</v>
      </c>
      <c r="E29" s="401">
        <f>'AASPA Fin. Position'!F29</f>
        <v>558687.27</v>
      </c>
      <c r="F29" s="385">
        <f>'ACC Fin. Position'!F29</f>
        <v>0</v>
      </c>
      <c r="G29" s="1027">
        <f>'ANT Fin. Position'!F29</f>
        <v>0</v>
      </c>
      <c r="H29" s="385">
        <f>'PSPF Fin. Position'!F29</f>
        <v>0</v>
      </c>
      <c r="I29" s="371">
        <f>'AFSC Fin. Position'!F29</f>
        <v>0</v>
      </c>
      <c r="J29" s="1050">
        <f>'PUC Fin. Position'!F29</f>
        <v>0</v>
      </c>
      <c r="K29" s="371">
        <f>'ASSB Fin. Position'!F29</f>
        <v>5443370.9299999997</v>
      </c>
      <c r="L29" s="744">
        <f>'HAA Fin. Position'!F29</f>
        <v>0</v>
      </c>
      <c r="M29" s="744"/>
      <c r="N29" s="1389"/>
    </row>
    <row r="30" spans="1:14" ht="15" customHeight="1" thickBot="1" x14ac:dyDescent="0.35">
      <c r="A30" s="876" t="s">
        <v>19</v>
      </c>
      <c r="B30" s="877">
        <f t="shared" ref="B30:N30" si="3">SUM(B23:B29)</f>
        <v>406111202.48035008</v>
      </c>
      <c r="C30" s="877">
        <f t="shared" si="3"/>
        <v>13089576</v>
      </c>
      <c r="D30" s="877">
        <f t="shared" si="3"/>
        <v>0</v>
      </c>
      <c r="E30" s="877">
        <f t="shared" si="3"/>
        <v>8502117.4299999997</v>
      </c>
      <c r="F30" s="877">
        <f t="shared" si="3"/>
        <v>351478.4</v>
      </c>
      <c r="G30" s="1026">
        <f t="shared" si="3"/>
        <v>181009.89</v>
      </c>
      <c r="H30" s="1026">
        <f t="shared" si="3"/>
        <v>27604329.07</v>
      </c>
      <c r="I30" s="1026">
        <f t="shared" si="3"/>
        <v>0</v>
      </c>
      <c r="J30" s="1051">
        <f>SUM(J23:J29)</f>
        <v>0.24035001</v>
      </c>
      <c r="K30" s="1026">
        <f t="shared" si="3"/>
        <v>356382691.44999999</v>
      </c>
      <c r="L30" s="1391">
        <f t="shared" si="3"/>
        <v>0</v>
      </c>
      <c r="M30" s="1391">
        <f t="shared" si="3"/>
        <v>0</v>
      </c>
      <c r="N30" s="1391">
        <f t="shared" si="3"/>
        <v>0</v>
      </c>
    </row>
    <row r="31" spans="1:14" ht="15" customHeight="1" x14ac:dyDescent="0.3">
      <c r="A31" s="74"/>
      <c r="B31" s="733"/>
      <c r="C31" s="366"/>
      <c r="D31" s="366"/>
      <c r="E31" s="750"/>
      <c r="F31" s="366"/>
      <c r="G31" s="1029"/>
      <c r="H31" s="1030"/>
      <c r="I31" s="1031"/>
      <c r="J31" s="1032"/>
      <c r="K31" s="1033"/>
      <c r="L31" s="743"/>
      <c r="M31" s="743"/>
      <c r="N31" s="743"/>
    </row>
    <row r="32" spans="1:14" ht="15" customHeight="1" x14ac:dyDescent="0.3">
      <c r="A32" s="75" t="s">
        <v>20</v>
      </c>
      <c r="B32" s="385"/>
      <c r="D32" s="385"/>
      <c r="E32" s="401"/>
      <c r="F32" s="385"/>
      <c r="G32" s="1034"/>
      <c r="H32" s="1027"/>
      <c r="I32" s="1035"/>
      <c r="J32" s="1036"/>
      <c r="K32" s="791"/>
      <c r="L32" s="744"/>
      <c r="M32" s="744"/>
      <c r="N32" s="744"/>
    </row>
    <row r="33" spans="1:14" ht="15" customHeight="1" x14ac:dyDescent="0.3">
      <c r="A33" s="76" t="s">
        <v>21</v>
      </c>
      <c r="B33" s="371">
        <f>C33+D33+E33+F33+G33+H33+I33+J33+K33+M33+N33</f>
        <v>23543128.02645117</v>
      </c>
      <c r="C33" s="385">
        <f>'ADB Fin. Postition '!F33</f>
        <v>0</v>
      </c>
      <c r="D33" s="385">
        <f>'ATB Fin. Position'!F33</f>
        <v>716335</v>
      </c>
      <c r="E33" s="401">
        <f>'AASPA Fin. Position'!F33</f>
        <v>5874089.2599999998</v>
      </c>
      <c r="F33" s="385">
        <f>'ACC Fin. Position'!F33</f>
        <v>6249190.3799999999</v>
      </c>
      <c r="G33" s="1027">
        <f>'ANT Fin. Position'!F33</f>
        <v>4853688</v>
      </c>
      <c r="H33" s="1027">
        <f>'PSPF Fin. Position'!F33</f>
        <v>0</v>
      </c>
      <c r="I33" s="1035">
        <f>'AFSC Fin. Position'!F33</f>
        <v>10079.594074000008</v>
      </c>
      <c r="J33" s="1052">
        <f>'PUC Fin. Position'!F33</f>
        <v>2.3771700000000001E-3</v>
      </c>
      <c r="K33" s="1027">
        <f>'ASSB Fin. Position'!F33</f>
        <v>5839745.79</v>
      </c>
      <c r="L33" s="744">
        <f>'HAA Fin. Position'!F33</f>
        <v>0</v>
      </c>
      <c r="M33" s="744"/>
      <c r="N33" s="744"/>
    </row>
    <row r="34" spans="1:14" ht="15" customHeight="1" x14ac:dyDescent="0.3">
      <c r="A34" s="76" t="s">
        <v>22</v>
      </c>
      <c r="B34" s="371">
        <f t="shared" ref="B34:B38" si="4">C34+D34+E34+F34+G34+H34+I34+J34+K34+M34+N34</f>
        <v>1643976.3696266301</v>
      </c>
      <c r="C34" s="385">
        <f>'ADB Fin. Postition '!F34</f>
        <v>595726</v>
      </c>
      <c r="D34" s="385">
        <f>'ATB Fin. Position'!F34</f>
        <v>91081.9</v>
      </c>
      <c r="E34" s="401">
        <f>'AASPA Fin. Position'!F34</f>
        <v>417038.76</v>
      </c>
      <c r="F34" s="385">
        <f>'ACC Fin. Position'!F34</f>
        <v>54502.900000000009</v>
      </c>
      <c r="G34" s="1027">
        <f>'ANT Fin. Position'!F34</f>
        <v>0</v>
      </c>
      <c r="H34" s="1027">
        <f>'PSPF Fin. Position'!F34</f>
        <v>2040.5699999999997</v>
      </c>
      <c r="I34" s="1035">
        <f>'AFSC Fin. Position'!F34</f>
        <v>31774.147651999985</v>
      </c>
      <c r="J34" s="1052">
        <f>'PUC Fin. Position'!F34</f>
        <v>2.1974629999999992E-2</v>
      </c>
      <c r="K34" s="1027">
        <f>'ASSB Fin. Position'!F34</f>
        <v>451812.07</v>
      </c>
      <c r="L34" s="744">
        <f>'HAA Fin. Position'!F34</f>
        <v>0</v>
      </c>
      <c r="M34" s="744"/>
      <c r="N34" s="744"/>
    </row>
    <row r="35" spans="1:14" ht="15" customHeight="1" x14ac:dyDescent="0.3">
      <c r="A35" s="76" t="s">
        <v>23</v>
      </c>
      <c r="B35" s="371">
        <f t="shared" si="4"/>
        <v>834565.77686259989</v>
      </c>
      <c r="C35" s="385">
        <f>'ADB Fin. Postition '!F35</f>
        <v>0</v>
      </c>
      <c r="D35" s="385">
        <f>'ATB Fin. Position'!F35</f>
        <v>8876.32</v>
      </c>
      <c r="E35" s="401">
        <f>'AASPA Fin. Position'!F35</f>
        <v>823207.69</v>
      </c>
      <c r="F35" s="385">
        <f>'ACC Fin. Position'!F35</f>
        <v>0</v>
      </c>
      <c r="G35" s="1027">
        <f>'ANT Fin. Position'!F35</f>
        <v>0</v>
      </c>
      <c r="H35" s="1027">
        <f>'PSPF Fin. Position'!F35</f>
        <v>2481.7600000000002</v>
      </c>
      <c r="I35" s="1035">
        <f>'AFSC Fin. Position'!F35</f>
        <v>0</v>
      </c>
      <c r="J35" s="1052">
        <f>'PUC Fin. Position'!F35</f>
        <v>6.862600000000006E-3</v>
      </c>
      <c r="K35" s="1027">
        <f>'ASSB Fin. Position'!F35</f>
        <v>0</v>
      </c>
      <c r="L35" s="744">
        <f>'HAA Fin. Position'!F35</f>
        <v>0</v>
      </c>
      <c r="M35" s="744"/>
      <c r="N35" s="744"/>
    </row>
    <row r="36" spans="1:14" ht="15" customHeight="1" x14ac:dyDescent="0.3">
      <c r="A36" s="76" t="s">
        <v>24</v>
      </c>
      <c r="B36" s="371">
        <f t="shared" si="4"/>
        <v>541248.6645500001</v>
      </c>
      <c r="C36" s="385">
        <f>'ADB Fin. Postition '!F36</f>
        <v>0</v>
      </c>
      <c r="D36" s="385">
        <f>'ATB Fin. Position'!F36</f>
        <v>68783.569999999992</v>
      </c>
      <c r="E36" s="401">
        <f>'AASPA Fin. Position'!F36</f>
        <v>220329.52000000002</v>
      </c>
      <c r="F36" s="385">
        <f>'ACC Fin. Position'!F36</f>
        <v>125525.42000000001</v>
      </c>
      <c r="G36" s="1027">
        <f>'ANT Fin. Position'!F36</f>
        <v>11988.84</v>
      </c>
      <c r="H36" s="1027">
        <f>'PSPF Fin. Position'!F36</f>
        <v>2807.7</v>
      </c>
      <c r="I36" s="1035">
        <f>'AFSC Fin. Position'!F36</f>
        <v>48690.694549999986</v>
      </c>
      <c r="J36" s="1052">
        <f>'PUC Fin. Position'!F36</f>
        <v>0</v>
      </c>
      <c r="K36" s="1027">
        <f>'ASSB Fin. Position'!F36</f>
        <v>63122.92</v>
      </c>
      <c r="L36" s="744">
        <f>'HAA Fin. Position'!F36</f>
        <v>0</v>
      </c>
      <c r="M36" s="744"/>
      <c r="N36" s="744"/>
    </row>
    <row r="37" spans="1:14" ht="15" customHeight="1" x14ac:dyDescent="0.3">
      <c r="A37" s="76" t="s">
        <v>25</v>
      </c>
      <c r="B37" s="371">
        <f t="shared" si="4"/>
        <v>905370.11369399994</v>
      </c>
      <c r="C37" s="385">
        <f>'ADB Fin. Postition '!F37</f>
        <v>0</v>
      </c>
      <c r="D37" s="385">
        <f>'ATB Fin. Position'!F37</f>
        <v>19997</v>
      </c>
      <c r="E37" s="401">
        <f>'AASPA Fin. Position'!F37</f>
        <v>743240.88</v>
      </c>
      <c r="F37" s="385">
        <f>'ACC Fin. Position'!F37</f>
        <v>-989.64000000000669</v>
      </c>
      <c r="G37" s="1027">
        <f>'ANT Fin. Position'!F37</f>
        <v>60961</v>
      </c>
      <c r="H37" s="1027">
        <f>'PSPF Fin. Position'!F37</f>
        <v>0</v>
      </c>
      <c r="I37" s="1035">
        <f>'AFSC Fin. Position'!F37</f>
        <v>58182.513694000001</v>
      </c>
      <c r="J37" s="1052">
        <f>'PUC Fin. Position'!F37</f>
        <v>0</v>
      </c>
      <c r="K37" s="1027">
        <f>'ASSB Fin. Position'!F37</f>
        <v>23978.36</v>
      </c>
      <c r="L37" s="744">
        <f>'HAA Fin. Position'!F37</f>
        <v>0</v>
      </c>
      <c r="M37" s="744"/>
      <c r="N37" s="744"/>
    </row>
    <row r="38" spans="1:14" ht="15" customHeight="1" thickBot="1" x14ac:dyDescent="0.35">
      <c r="A38" s="76" t="s">
        <v>26</v>
      </c>
      <c r="B38" s="371">
        <f t="shared" si="4"/>
        <v>8826682.351631999</v>
      </c>
      <c r="C38" s="385">
        <f>'ADB Fin. Postition '!F38</f>
        <v>93338</v>
      </c>
      <c r="D38" s="385">
        <f>'ATB Fin. Position'!F38</f>
        <v>0</v>
      </c>
      <c r="E38" s="401">
        <f>'AASPA Fin. Position'!F38</f>
        <v>3083240.04</v>
      </c>
      <c r="F38" s="385">
        <f>'ACC Fin. Position'!F38</f>
        <v>1193749.5499999998</v>
      </c>
      <c r="G38" s="1027">
        <f>'ANT Fin. Position'!F38</f>
        <v>426278.04</v>
      </c>
      <c r="H38" s="1027">
        <f>'PSPF Fin. Position'!F38</f>
        <v>0</v>
      </c>
      <c r="I38" s="1035">
        <f>'AFSC Fin. Position'!F38</f>
        <v>1115129.2316319998</v>
      </c>
      <c r="J38" s="1052">
        <f>'PUC Fin. Position'!F38</f>
        <v>0</v>
      </c>
      <c r="K38" s="1027">
        <f>'ASSB Fin. Position'!F38</f>
        <v>2914947.49</v>
      </c>
      <c r="L38" s="744">
        <f>'HAA Fin. Position'!F38</f>
        <v>0</v>
      </c>
      <c r="M38" s="744"/>
      <c r="N38" s="744"/>
    </row>
    <row r="39" spans="1:14" ht="15" customHeight="1" thickBot="1" x14ac:dyDescent="0.35">
      <c r="A39" s="874" t="s">
        <v>27</v>
      </c>
      <c r="B39" s="875">
        <f>SUM(B33:B38)</f>
        <v>36294971.302816398</v>
      </c>
      <c r="C39" s="875">
        <f t="shared" ref="C39:N39" si="5">SUM(C33:C38)</f>
        <v>689064</v>
      </c>
      <c r="D39" s="875">
        <f t="shared" si="5"/>
        <v>905073.78999999992</v>
      </c>
      <c r="E39" s="875">
        <f t="shared" si="5"/>
        <v>11161146.149999999</v>
      </c>
      <c r="F39" s="875">
        <f t="shared" si="5"/>
        <v>7621978.6100000003</v>
      </c>
      <c r="G39" s="1025">
        <f t="shared" si="5"/>
        <v>5352915.88</v>
      </c>
      <c r="H39" s="1025">
        <f t="shared" si="5"/>
        <v>7330.03</v>
      </c>
      <c r="I39" s="1025">
        <f t="shared" si="5"/>
        <v>1263856.1816019998</v>
      </c>
      <c r="J39" s="1053">
        <f>SUM(J33:J38)</f>
        <v>3.12144E-2</v>
      </c>
      <c r="K39" s="1025">
        <f t="shared" si="5"/>
        <v>9293606.6300000008</v>
      </c>
      <c r="L39" s="1390">
        <f t="shared" si="5"/>
        <v>0</v>
      </c>
      <c r="M39" s="1390">
        <f t="shared" si="5"/>
        <v>0</v>
      </c>
      <c r="N39" s="1390">
        <f t="shared" si="5"/>
        <v>0</v>
      </c>
    </row>
    <row r="40" spans="1:14" ht="15" customHeight="1" x14ac:dyDescent="0.3">
      <c r="A40" s="77"/>
      <c r="B40" s="733"/>
      <c r="C40" s="733"/>
      <c r="D40" s="732"/>
      <c r="E40" s="872"/>
      <c r="F40" s="732"/>
      <c r="G40" s="1029"/>
      <c r="H40" s="1037"/>
      <c r="I40" s="1037"/>
      <c r="J40" s="1038"/>
      <c r="K40" s="1037"/>
      <c r="L40" s="1392"/>
      <c r="M40" s="1392"/>
      <c r="N40" s="1392"/>
    </row>
    <row r="41" spans="1:14" ht="15" customHeight="1" x14ac:dyDescent="0.3">
      <c r="A41" s="78" t="s">
        <v>28</v>
      </c>
      <c r="B41" s="371">
        <f>C41+D41+E41+F41+G41+H41+I41+J41+K41+M41+N41</f>
        <v>1571199.6406159399</v>
      </c>
      <c r="C41" s="371">
        <f>'ADB Fin. Postition '!F41</f>
        <v>0</v>
      </c>
      <c r="D41" s="371">
        <f>'ATB Fin. Position'!F41</f>
        <v>0</v>
      </c>
      <c r="E41" s="711">
        <f>'AASPA Fin. Position'!F41</f>
        <v>164004.49</v>
      </c>
      <c r="F41" s="371">
        <f>'ACC Fin. Position'!F41</f>
        <v>0</v>
      </c>
      <c r="G41" s="1027">
        <f>'ANT Fin. Position'!F41</f>
        <v>0</v>
      </c>
      <c r="H41" s="1027">
        <f>'PSPF Fin. Position'!F41</f>
        <v>18006.199999999983</v>
      </c>
      <c r="I41" s="1027">
        <f>'AFSC Fin. Position'!F41</f>
        <v>0</v>
      </c>
      <c r="J41" s="1056">
        <f>'PUC Fin. Position'!F41</f>
        <v>3.0615940000000001E-2</v>
      </c>
      <c r="K41" s="1027">
        <f>'ASSB Fin. Position'!F41</f>
        <v>1389188.92</v>
      </c>
      <c r="L41" s="744">
        <f>'HAA Fin. Position'!F41</f>
        <v>0</v>
      </c>
      <c r="M41" s="744"/>
      <c r="N41" s="744"/>
    </row>
    <row r="42" spans="1:14" ht="15" customHeight="1" thickBot="1" x14ac:dyDescent="0.35">
      <c r="A42" s="79"/>
      <c r="B42" s="402"/>
      <c r="C42" s="402"/>
      <c r="D42" s="402"/>
      <c r="E42" s="728"/>
      <c r="F42" s="402"/>
      <c r="G42" s="1039"/>
      <c r="H42" s="1040"/>
      <c r="I42" s="1040"/>
      <c r="J42" s="1041"/>
      <c r="K42" s="1040"/>
      <c r="L42" s="1389"/>
      <c r="M42" s="1389"/>
      <c r="N42" s="1389"/>
    </row>
    <row r="43" spans="1:14" ht="15" customHeight="1" thickBot="1" x14ac:dyDescent="0.35">
      <c r="A43" s="874" t="s">
        <v>29</v>
      </c>
      <c r="B43" s="875">
        <f>B20+B30+B39+B41</f>
        <v>516347080.90743291</v>
      </c>
      <c r="C43" s="875">
        <f t="shared" ref="C43:N43" si="6">C20+C30+C39+C41</f>
        <v>20551039</v>
      </c>
      <c r="D43" s="875">
        <f t="shared" si="6"/>
        <v>5221944.1800000006</v>
      </c>
      <c r="E43" s="875">
        <f>E20+E30+E39+E41</f>
        <v>27259085.879999999</v>
      </c>
      <c r="F43" s="875">
        <f t="shared" si="6"/>
        <v>10775766.67</v>
      </c>
      <c r="G43" s="1025">
        <f t="shared" si="6"/>
        <v>6099888.21</v>
      </c>
      <c r="H43" s="1025">
        <f t="shared" si="6"/>
        <v>33493106.960000001</v>
      </c>
      <c r="I43" s="1025">
        <f t="shared" si="6"/>
        <v>20470112.429966003</v>
      </c>
      <c r="J43" s="1053">
        <f>J20+J30+J39+J41</f>
        <v>0.79746684999999995</v>
      </c>
      <c r="K43" s="1025">
        <f t="shared" si="6"/>
        <v>392476136.77999997</v>
      </c>
      <c r="L43" s="1390">
        <f>L20+L30+L39+L41</f>
        <v>719199.22</v>
      </c>
      <c r="M43" s="1390">
        <f t="shared" si="6"/>
        <v>0</v>
      </c>
      <c r="N43" s="1390">
        <f t="shared" si="6"/>
        <v>0</v>
      </c>
    </row>
    <row r="44" spans="1:14" ht="15" customHeight="1" x14ac:dyDescent="0.3">
      <c r="A44" s="80"/>
      <c r="B44" s="733"/>
      <c r="C44" s="733"/>
      <c r="D44" s="733"/>
      <c r="E44" s="871"/>
      <c r="F44" s="733"/>
      <c r="G44" s="1029"/>
      <c r="H44" s="1030"/>
      <c r="I44" s="1030"/>
      <c r="J44" s="1038"/>
      <c r="K44" s="1030"/>
      <c r="L44" s="743"/>
      <c r="M44" s="743"/>
      <c r="N44" s="743"/>
    </row>
    <row r="45" spans="1:14" ht="15" customHeight="1" x14ac:dyDescent="0.3">
      <c r="A45" s="65" t="s">
        <v>30</v>
      </c>
      <c r="B45" s="371"/>
      <c r="C45" s="385"/>
      <c r="D45" s="385"/>
      <c r="E45" s="401"/>
      <c r="F45" s="385"/>
      <c r="G45" s="1034"/>
      <c r="H45" s="1027"/>
      <c r="I45" s="1027"/>
      <c r="J45" s="1028"/>
      <c r="K45" s="1027"/>
      <c r="L45" s="744"/>
      <c r="M45" s="744"/>
      <c r="N45" s="744"/>
    </row>
    <row r="46" spans="1:14" ht="15" customHeight="1" x14ac:dyDescent="0.3">
      <c r="A46" s="81"/>
      <c r="B46" s="385"/>
      <c r="C46" s="385"/>
      <c r="D46" s="385"/>
      <c r="E46" s="401"/>
      <c r="F46" s="385"/>
      <c r="G46" s="1034"/>
      <c r="H46" s="1027"/>
      <c r="I46" s="1027"/>
      <c r="J46" s="1028"/>
      <c r="K46" s="1027"/>
      <c r="L46" s="744"/>
      <c r="M46" s="744"/>
      <c r="N46" s="744"/>
    </row>
    <row r="47" spans="1:14" ht="15" customHeight="1" x14ac:dyDescent="0.3">
      <c r="A47" s="65" t="s">
        <v>31</v>
      </c>
      <c r="B47" s="385"/>
      <c r="C47" s="371"/>
      <c r="D47" s="371"/>
      <c r="E47" s="711"/>
      <c r="F47" s="371"/>
      <c r="G47" s="1034"/>
      <c r="H47" s="1027"/>
      <c r="I47" s="1027"/>
      <c r="J47" s="1028"/>
      <c r="K47" s="1027"/>
      <c r="L47" s="744"/>
      <c r="M47" s="744"/>
      <c r="N47" s="744"/>
    </row>
    <row r="48" spans="1:14" ht="15" customHeight="1" x14ac:dyDescent="0.3">
      <c r="A48" s="82" t="s">
        <v>32</v>
      </c>
      <c r="B48" s="371">
        <f>C48+D48+E48+F48+G48+H48+I48+J48+K48+M48+N48</f>
        <v>9548394.8728155792</v>
      </c>
      <c r="C48" s="668">
        <f>'ADB Fin. Postition '!F48</f>
        <v>96880</v>
      </c>
      <c r="D48" s="385">
        <f>'ATB Fin. Position'!F48</f>
        <v>457520.11</v>
      </c>
      <c r="E48" s="401">
        <f>'AASPA Fin. Position'!F48</f>
        <v>5264771.99</v>
      </c>
      <c r="F48" s="385">
        <f>'ACC Fin. Position'!F48</f>
        <v>279124.00999999995</v>
      </c>
      <c r="G48" s="1027">
        <f>'ANT Fin. Position'!F48</f>
        <v>0</v>
      </c>
      <c r="H48" s="1027">
        <f>'PSPF Fin. Position'!F48</f>
        <v>240083.27</v>
      </c>
      <c r="I48" s="1027">
        <f>'AFSC Fin. Position'!F48</f>
        <v>85350.269354000004</v>
      </c>
      <c r="J48" s="1056">
        <f>'PUC Fin. Position'!F48</f>
        <v>9.3461580000000002E-2</v>
      </c>
      <c r="K48" s="1027">
        <f>'ASSB Fin. Position'!F48</f>
        <v>3124665.13</v>
      </c>
      <c r="L48" s="744">
        <f>'HAA Fin. Position'!F48</f>
        <v>1721611.74</v>
      </c>
      <c r="M48" s="744"/>
      <c r="N48" s="744"/>
    </row>
    <row r="49" spans="1:14" ht="15" customHeight="1" x14ac:dyDescent="0.3">
      <c r="A49" s="83" t="s">
        <v>50</v>
      </c>
      <c r="B49" s="371">
        <f t="shared" ref="B49:B56" si="7">C49+D49+E49+F49+G49+H49+I49+J49+K49+M49+N49</f>
        <v>10513.08</v>
      </c>
      <c r="C49" s="668">
        <f>'ADB Fin. Postition '!F49</f>
        <v>0</v>
      </c>
      <c r="D49" s="385">
        <f>'ATB Fin. Position'!F49</f>
        <v>0</v>
      </c>
      <c r="E49" s="401">
        <f>'AASPA Fin. Position'!F49</f>
        <v>10961.52</v>
      </c>
      <c r="F49" s="385">
        <f>'ACC Fin. Position'!F49</f>
        <v>-448.44</v>
      </c>
      <c r="G49" s="1027">
        <f>'ANT Fin. Position'!F49</f>
        <v>0</v>
      </c>
      <c r="H49" s="1027">
        <f>'PSPF Fin. Position'!F49</f>
        <v>0</v>
      </c>
      <c r="I49" s="1027">
        <f>'AFSC Fin. Position'!F49</f>
        <v>0</v>
      </c>
      <c r="J49" s="1056">
        <f>'PUC Fin. Position'!F49</f>
        <v>0</v>
      </c>
      <c r="K49" s="1027">
        <f>'ASSB Fin. Position'!F49</f>
        <v>0</v>
      </c>
      <c r="L49" s="744">
        <f>'HAA Fin. Position'!F49</f>
        <v>0</v>
      </c>
      <c r="M49" s="744"/>
      <c r="N49" s="744"/>
    </row>
    <row r="50" spans="1:14" ht="15" customHeight="1" x14ac:dyDescent="0.3">
      <c r="A50" s="83" t="s">
        <v>108</v>
      </c>
      <c r="B50" s="371">
        <f t="shared" si="7"/>
        <v>42718.34</v>
      </c>
      <c r="C50" s="668">
        <f>'ADB Fin. Postition '!F50</f>
        <v>0</v>
      </c>
      <c r="D50" s="385">
        <f>'ATB Fin. Position'!F50</f>
        <v>0</v>
      </c>
      <c r="E50" s="401">
        <f>'AASPA Fin. Position'!F50</f>
        <v>25485.29</v>
      </c>
      <c r="F50" s="385">
        <f>'ACC Fin. Position'!F50</f>
        <v>0.01</v>
      </c>
      <c r="G50" s="1027">
        <f>'ANT Fin. Position'!F50</f>
        <v>0</v>
      </c>
      <c r="H50" s="1027">
        <f>'PSPF Fin. Position'!F50</f>
        <v>7385.7</v>
      </c>
      <c r="I50" s="1027">
        <f>'AFSC Fin. Position'!F50</f>
        <v>0</v>
      </c>
      <c r="J50" s="1056">
        <f>'PUC Fin. Position'!F50</f>
        <v>0</v>
      </c>
      <c r="K50" s="1027">
        <f>'ASSB Fin. Position'!F50</f>
        <v>9847.34</v>
      </c>
      <c r="L50" s="744">
        <f>'HAA Fin. Position'!F50</f>
        <v>0</v>
      </c>
      <c r="M50" s="744"/>
      <c r="N50" s="744"/>
    </row>
    <row r="51" spans="1:14" ht="15" customHeight="1" x14ac:dyDescent="0.3">
      <c r="A51" s="83" t="s">
        <v>109</v>
      </c>
      <c r="B51" s="371">
        <f t="shared" si="7"/>
        <v>429707.11000000004</v>
      </c>
      <c r="C51" s="668">
        <f>'ADB Fin. Postition '!F51</f>
        <v>0</v>
      </c>
      <c r="D51" s="385">
        <f>'ATB Fin. Position'!F51</f>
        <v>0</v>
      </c>
      <c r="E51" s="401">
        <f>'AASPA Fin. Position'!F51</f>
        <v>28969.83</v>
      </c>
      <c r="F51" s="385">
        <f>'ACC Fin. Position'!F51</f>
        <v>0</v>
      </c>
      <c r="G51" s="1027">
        <f>'ANT Fin. Position'!F51</f>
        <v>0</v>
      </c>
      <c r="H51" s="1027">
        <f>'PSPF Fin. Position'!F51</f>
        <v>400737.28000000003</v>
      </c>
      <c r="I51" s="1027">
        <f>'AFSC Fin. Position'!F51</f>
        <v>0</v>
      </c>
      <c r="J51" s="1056">
        <f>'PUC Fin. Position'!F51</f>
        <v>0</v>
      </c>
      <c r="K51" s="1027">
        <f>'ASSB Fin. Position'!F51</f>
        <v>0</v>
      </c>
      <c r="L51" s="744">
        <f>'HAA Fin. Position'!F51</f>
        <v>0</v>
      </c>
      <c r="M51" s="744"/>
      <c r="N51" s="744"/>
    </row>
    <row r="52" spans="1:14" ht="15" customHeight="1" x14ac:dyDescent="0.3">
      <c r="A52" s="83" t="s">
        <v>33</v>
      </c>
      <c r="B52" s="371">
        <f t="shared" si="7"/>
        <v>45847.199999999997</v>
      </c>
      <c r="C52" s="668">
        <f>'ADB Fin. Postition '!F52</f>
        <v>0</v>
      </c>
      <c r="D52" s="385">
        <f>'ATB Fin. Position'!F52</f>
        <v>11085.99</v>
      </c>
      <c r="E52" s="401">
        <f>'AASPA Fin. Position'!F52</f>
        <v>32336.82</v>
      </c>
      <c r="F52" s="385">
        <f>'ACC Fin. Position'!F52</f>
        <v>0</v>
      </c>
      <c r="G52" s="1027">
        <f>'ANT Fin. Position'!F52</f>
        <v>0</v>
      </c>
      <c r="H52" s="1027">
        <f>'PSPF Fin. Position'!F52</f>
        <v>2424.39</v>
      </c>
      <c r="I52" s="1027">
        <f>'AFSC Fin. Position'!F52</f>
        <v>0</v>
      </c>
      <c r="J52" s="1056">
        <f>'PUC Fin. Position'!F52</f>
        <v>0</v>
      </c>
      <c r="K52" s="1027">
        <f>'ASSB Fin. Position'!F52</f>
        <v>0</v>
      </c>
      <c r="L52" s="744">
        <f>'HAA Fin. Position'!F52</f>
        <v>0</v>
      </c>
      <c r="M52" s="744"/>
      <c r="N52" s="744"/>
    </row>
    <row r="53" spans="1:14" ht="15" customHeight="1" x14ac:dyDescent="0.3">
      <c r="A53" s="83" t="s">
        <v>34</v>
      </c>
      <c r="B53" s="371">
        <f t="shared" si="7"/>
        <v>14002976.409010002</v>
      </c>
      <c r="C53" s="668">
        <f>'ADB Fin. Postition '!F53</f>
        <v>0</v>
      </c>
      <c r="D53" s="385">
        <f>'ATB Fin. Position'!F53</f>
        <v>0</v>
      </c>
      <c r="E53" s="401">
        <f>'AASPA Fin. Position'!F53</f>
        <v>0</v>
      </c>
      <c r="F53" s="385">
        <f>'ACC Fin. Position'!F53</f>
        <v>0</v>
      </c>
      <c r="G53" s="1027">
        <f>'ANT Fin. Position'!F53</f>
        <v>0</v>
      </c>
      <c r="H53" s="1027">
        <f>'PSPF Fin. Position'!F53</f>
        <v>0</v>
      </c>
      <c r="I53" s="1027">
        <f>'AFSC Fin. Position'!F53</f>
        <v>14002976.409010002</v>
      </c>
      <c r="J53" s="1056">
        <f>'PUC Fin. Position'!F53</f>
        <v>0</v>
      </c>
      <c r="K53" s="1027">
        <f>'ASSB Fin. Position'!F53</f>
        <v>0</v>
      </c>
      <c r="L53" s="744">
        <f>'HAA Fin. Position'!F53</f>
        <v>0</v>
      </c>
      <c r="M53" s="744"/>
      <c r="N53" s="744"/>
    </row>
    <row r="54" spans="1:14" ht="15" customHeight="1" x14ac:dyDescent="0.3">
      <c r="A54" s="82" t="s">
        <v>35</v>
      </c>
      <c r="B54" s="371">
        <f t="shared" si="7"/>
        <v>575442.99413400004</v>
      </c>
      <c r="C54" s="668">
        <f>'ADB Fin. Postition '!F54</f>
        <v>36985</v>
      </c>
      <c r="D54" s="385">
        <f>'ATB Fin. Position'!F54</f>
        <v>-275573.83</v>
      </c>
      <c r="E54" s="401">
        <f>'AASPA Fin. Position'!F54</f>
        <v>0</v>
      </c>
      <c r="F54" s="385">
        <f>'ACC Fin. Position'!F54</f>
        <v>666858.6</v>
      </c>
      <c r="G54" s="1027">
        <f>'ANT Fin. Position'!F54</f>
        <v>0</v>
      </c>
      <c r="H54" s="1027">
        <f>'PSPF Fin. Position'!F54</f>
        <v>0</v>
      </c>
      <c r="I54" s="1027">
        <f>'AFSC Fin. Position'!F54</f>
        <v>147173.22413400002</v>
      </c>
      <c r="J54" s="1056">
        <f>'PUC Fin. Position'!F54</f>
        <v>0</v>
      </c>
      <c r="K54" s="1027">
        <f>'ASSB Fin. Position'!F54</f>
        <v>0</v>
      </c>
      <c r="L54" s="744">
        <f>'HAA Fin. Position'!F54</f>
        <v>0</v>
      </c>
      <c r="M54" s="744"/>
      <c r="N54" s="744"/>
    </row>
    <row r="55" spans="1:14" ht="15" customHeight="1" x14ac:dyDescent="0.3">
      <c r="A55" s="82" t="s">
        <v>36</v>
      </c>
      <c r="B55" s="371">
        <f t="shared" si="7"/>
        <v>0</v>
      </c>
      <c r="C55" s="668">
        <f>'ADB Fin. Postition '!F55</f>
        <v>0</v>
      </c>
      <c r="D55" s="385">
        <f>'ATB Fin. Position'!F55</f>
        <v>0</v>
      </c>
      <c r="E55" s="401">
        <f>'AASPA Fin. Position'!F55</f>
        <v>0</v>
      </c>
      <c r="F55" s="385">
        <f>'ACC Fin. Position'!F55</f>
        <v>0</v>
      </c>
      <c r="G55" s="1027">
        <f>'ANT Fin. Position'!F55</f>
        <v>0</v>
      </c>
      <c r="H55" s="1027">
        <f>'PSPF Fin. Position'!F55</f>
        <v>0</v>
      </c>
      <c r="I55" s="1027">
        <f>'AFSC Fin. Position'!F55</f>
        <v>0</v>
      </c>
      <c r="J55" s="1056">
        <f>'PUC Fin. Position'!F55</f>
        <v>0</v>
      </c>
      <c r="K55" s="1027">
        <f>'ASSB Fin. Position'!F55</f>
        <v>0</v>
      </c>
      <c r="L55" s="744">
        <f>'HAA Fin. Position'!F55</f>
        <v>0</v>
      </c>
      <c r="M55" s="744"/>
      <c r="N55" s="744"/>
    </row>
    <row r="56" spans="1:14" ht="15" customHeight="1" thickBot="1" x14ac:dyDescent="0.35">
      <c r="A56" s="84" t="s">
        <v>37</v>
      </c>
      <c r="B56" s="371">
        <f t="shared" si="7"/>
        <v>486928.218222</v>
      </c>
      <c r="C56" s="668">
        <f>'ADB Fin. Postition '!F56</f>
        <v>0</v>
      </c>
      <c r="D56" s="385">
        <f>'ATB Fin. Position'!F56</f>
        <v>29230.409999999993</v>
      </c>
      <c r="E56" s="401">
        <f>'AASPA Fin. Position'!F56</f>
        <v>0</v>
      </c>
      <c r="F56" s="385">
        <f>'ACC Fin. Position'!F56</f>
        <v>84385.920000000013</v>
      </c>
      <c r="G56" s="1027">
        <f>'ANT Fin. Position'!F56</f>
        <v>0</v>
      </c>
      <c r="H56" s="1027">
        <f>'PSPF Fin. Position'!F56</f>
        <v>0</v>
      </c>
      <c r="I56" s="1027">
        <f>'AFSC Fin. Position'!F56</f>
        <v>250348.59822200003</v>
      </c>
      <c r="J56" s="1056">
        <f>'PUC Fin. Position'!F56</f>
        <v>0</v>
      </c>
      <c r="K56" s="1027">
        <f>'ASSB Fin. Position'!F56</f>
        <v>122963.29</v>
      </c>
      <c r="L56" s="744">
        <f>'HAA Fin. Position'!F56</f>
        <v>0</v>
      </c>
      <c r="M56" s="744"/>
      <c r="N56" s="1389"/>
    </row>
    <row r="57" spans="1:14" ht="15" customHeight="1" thickBot="1" x14ac:dyDescent="0.35">
      <c r="A57" s="874" t="s">
        <v>38</v>
      </c>
      <c r="B57" s="875">
        <f>SUM(B48:B56)</f>
        <v>25142528.224181581</v>
      </c>
      <c r="C57" s="875">
        <f t="shared" ref="C57:N57" si="8">SUM(C48:C56)</f>
        <v>133865</v>
      </c>
      <c r="D57" s="875">
        <f t="shared" si="8"/>
        <v>222262.67999999996</v>
      </c>
      <c r="E57" s="875">
        <f t="shared" si="8"/>
        <v>5362525.45</v>
      </c>
      <c r="F57" s="875">
        <f t="shared" si="8"/>
        <v>1029920.1</v>
      </c>
      <c r="G57" s="1025">
        <f t="shared" si="8"/>
        <v>0</v>
      </c>
      <c r="H57" s="1025">
        <f t="shared" si="8"/>
        <v>650630.64</v>
      </c>
      <c r="I57" s="1025">
        <f t="shared" si="8"/>
        <v>14485848.500720004</v>
      </c>
      <c r="J57" s="1053">
        <f>SUM(J48:J56)</f>
        <v>9.3461580000000002E-2</v>
      </c>
      <c r="K57" s="1025">
        <f t="shared" si="8"/>
        <v>3257475.76</v>
      </c>
      <c r="L57" s="1390">
        <f t="shared" si="8"/>
        <v>1721611.74</v>
      </c>
      <c r="M57" s="1390">
        <f t="shared" si="8"/>
        <v>0</v>
      </c>
      <c r="N57" s="1390">
        <f t="shared" si="8"/>
        <v>0</v>
      </c>
    </row>
    <row r="58" spans="1:14" ht="15" customHeight="1" x14ac:dyDescent="0.3">
      <c r="A58" s="747"/>
      <c r="B58" s="746"/>
      <c r="C58" s="366"/>
      <c r="D58" s="366"/>
      <c r="E58" s="750"/>
      <c r="F58" s="366"/>
      <c r="G58" s="1042"/>
      <c r="H58" s="1030"/>
      <c r="I58" s="1043"/>
      <c r="J58" s="1038"/>
      <c r="K58" s="1030"/>
      <c r="L58" s="743"/>
      <c r="M58" s="743"/>
      <c r="N58" s="743"/>
    </row>
    <row r="59" spans="1:14" ht="15" customHeight="1" x14ac:dyDescent="0.3">
      <c r="A59" s="748" t="s">
        <v>39</v>
      </c>
      <c r="B59" s="386"/>
      <c r="C59" s="385"/>
      <c r="D59" s="385"/>
      <c r="E59" s="401"/>
      <c r="F59" s="385"/>
      <c r="G59" s="1034"/>
      <c r="H59" s="1027"/>
      <c r="I59" s="1027"/>
      <c r="J59" s="1028"/>
      <c r="K59" s="1027"/>
      <c r="L59" s="744"/>
      <c r="M59" s="744"/>
      <c r="N59" s="744"/>
    </row>
    <row r="60" spans="1:14" ht="15" customHeight="1" x14ac:dyDescent="0.3">
      <c r="A60" s="76" t="s">
        <v>117</v>
      </c>
      <c r="B60" s="372">
        <f>C60+D60+E60+F60+G60+H60+I60+J60+K60+M60+N60</f>
        <v>7844194.8984660003</v>
      </c>
      <c r="C60" s="668">
        <f>'ADB Fin. Postition '!F60</f>
        <v>562376</v>
      </c>
      <c r="D60" s="385">
        <f>'ATB Fin. Position'!F60</f>
        <v>0</v>
      </c>
      <c r="E60" s="401">
        <f>'AASPA Fin. Position'!F60</f>
        <v>1437312.88</v>
      </c>
      <c r="F60" s="385">
        <f>'ACC Fin. Position'!F60</f>
        <v>5383223.9900000002</v>
      </c>
      <c r="G60" s="1027">
        <f>'ANT Fin. Position'!F60</f>
        <v>0</v>
      </c>
      <c r="H60" s="1027">
        <f>'PSPF Fin. Position'!F60</f>
        <v>0</v>
      </c>
      <c r="I60" s="1027">
        <f>'AFSC Fin. Position'!F61</f>
        <v>461282.02846600005</v>
      </c>
      <c r="J60" s="1056">
        <f>'PUC Fin. Position'!F60</f>
        <v>0</v>
      </c>
      <c r="K60" s="1027">
        <f>'ASSB Fin. Position'!F60</f>
        <v>0</v>
      </c>
      <c r="L60" s="744">
        <f>'HAA Fin. Position'!F60</f>
        <v>0</v>
      </c>
      <c r="M60" s="744"/>
      <c r="N60" s="744"/>
    </row>
    <row r="61" spans="1:14" ht="15" customHeight="1" x14ac:dyDescent="0.3">
      <c r="A61" s="76" t="s">
        <v>40</v>
      </c>
      <c r="B61" s="372">
        <f>C61+D61+E61+F61+G61+H61+I61+J61+K61+M61+N61</f>
        <v>10875003.256450409</v>
      </c>
      <c r="C61" s="668">
        <f>'ADB Fin. Postition '!F61</f>
        <v>364000</v>
      </c>
      <c r="D61" s="385">
        <f>'ATB Fin. Position'!F61</f>
        <v>0</v>
      </c>
      <c r="E61" s="401">
        <f>'AASPA Fin. Position'!F61</f>
        <v>366891.68</v>
      </c>
      <c r="F61" s="385">
        <f>'ACC Fin. Position'!F61</f>
        <v>18230.2</v>
      </c>
      <c r="G61" s="1027">
        <f>'ANT Fin. Position'!F61</f>
        <v>0</v>
      </c>
      <c r="H61" s="1027">
        <f>'PSPF Fin. Position'!F61</f>
        <v>7324.33</v>
      </c>
      <c r="I61" s="1027">
        <f>'AFSC Fin. Position'!F62</f>
        <v>0</v>
      </c>
      <c r="J61" s="1056">
        <f>'PUC Fin. Position'!F61</f>
        <v>4.6450410000000004E-2</v>
      </c>
      <c r="K61" s="1027">
        <f>'ASSB Fin. Position'!F61</f>
        <v>10118557</v>
      </c>
      <c r="L61" s="744">
        <f>'HAA Fin. Position'!F61</f>
        <v>0</v>
      </c>
      <c r="M61" s="744"/>
      <c r="N61" s="744"/>
    </row>
    <row r="62" spans="1:14" ht="15" customHeight="1" thickBot="1" x14ac:dyDescent="0.35">
      <c r="A62" s="749"/>
      <c r="B62" s="745"/>
      <c r="C62" s="402"/>
      <c r="D62" s="402"/>
      <c r="E62" s="728"/>
      <c r="F62" s="402"/>
      <c r="G62" s="1044"/>
      <c r="H62" s="1040"/>
      <c r="I62" s="1040"/>
      <c r="J62" s="1045"/>
      <c r="K62" s="1040"/>
      <c r="L62" s="1389"/>
      <c r="M62" s="1389"/>
      <c r="N62" s="1389"/>
    </row>
    <row r="63" spans="1:14" ht="15" customHeight="1" thickBot="1" x14ac:dyDescent="0.35">
      <c r="A63" s="878" t="s">
        <v>41</v>
      </c>
      <c r="B63" s="875">
        <f>SUM(B60:B61)</f>
        <v>18719198.154916409</v>
      </c>
      <c r="C63" s="875">
        <f t="shared" ref="C63:N63" si="9">SUM(C60:C61)</f>
        <v>926376</v>
      </c>
      <c r="D63" s="875">
        <f t="shared" si="9"/>
        <v>0</v>
      </c>
      <c r="E63" s="875">
        <f t="shared" si="9"/>
        <v>1804204.5599999998</v>
      </c>
      <c r="F63" s="875">
        <f t="shared" si="9"/>
        <v>5401454.1900000004</v>
      </c>
      <c r="G63" s="1025">
        <f t="shared" si="9"/>
        <v>0</v>
      </c>
      <c r="H63" s="1025">
        <f t="shared" si="9"/>
        <v>7324.33</v>
      </c>
      <c r="I63" s="1025">
        <f t="shared" si="9"/>
        <v>461282.02846600005</v>
      </c>
      <c r="J63" s="1053">
        <f t="shared" si="9"/>
        <v>4.6450410000000004E-2</v>
      </c>
      <c r="K63" s="1025">
        <f t="shared" si="9"/>
        <v>10118557</v>
      </c>
      <c r="L63" s="1390">
        <f t="shared" si="9"/>
        <v>0</v>
      </c>
      <c r="M63" s="1390">
        <f t="shared" si="9"/>
        <v>0</v>
      </c>
      <c r="N63" s="1390">
        <f t="shared" si="9"/>
        <v>0</v>
      </c>
    </row>
    <row r="64" spans="1:14" ht="15" customHeight="1" x14ac:dyDescent="0.3">
      <c r="A64" s="85"/>
      <c r="B64" s="733"/>
      <c r="C64" s="366"/>
      <c r="D64" s="366"/>
      <c r="E64" s="750"/>
      <c r="F64" s="366"/>
      <c r="G64" s="1029"/>
      <c r="H64" s="1030"/>
      <c r="I64" s="1030"/>
      <c r="J64" s="1046"/>
      <c r="K64" s="1030"/>
      <c r="L64" s="743"/>
      <c r="M64" s="743"/>
      <c r="N64" s="743"/>
    </row>
    <row r="65" spans="1:14" ht="15" customHeight="1" x14ac:dyDescent="0.3">
      <c r="A65" s="65" t="s">
        <v>42</v>
      </c>
      <c r="B65" s="385"/>
      <c r="C65" s="385"/>
      <c r="D65" s="385"/>
      <c r="E65" s="401"/>
      <c r="F65" s="385"/>
      <c r="G65" s="1034"/>
      <c r="H65" s="1027"/>
      <c r="I65" s="1027"/>
      <c r="J65" s="1028"/>
      <c r="K65" s="1027"/>
      <c r="L65" s="744"/>
      <c r="M65" s="744"/>
      <c r="N65" s="744"/>
    </row>
    <row r="66" spans="1:14" ht="15" customHeight="1" x14ac:dyDescent="0.3">
      <c r="A66" s="82" t="s">
        <v>43</v>
      </c>
      <c r="B66" s="371">
        <f>C66+D66+E66+F66+G66+H66+I66+J66+K66+M66+N66</f>
        <v>422487135.86630297</v>
      </c>
      <c r="C66" s="668">
        <f>'ADB Fin. Postition '!F66</f>
        <v>10555698</v>
      </c>
      <c r="D66" s="385">
        <f>'ATB Fin. Position'!F66</f>
        <v>5315373.96</v>
      </c>
      <c r="E66" s="401">
        <f>'AASPA Fin. Position'!F66</f>
        <v>7013030.8099999996</v>
      </c>
      <c r="F66" s="385">
        <f>'ACC Fin. Position'!F66</f>
        <v>4650310.47</v>
      </c>
      <c r="G66" s="1027">
        <f>'ANT Fin. Position'!F66</f>
        <v>0</v>
      </c>
      <c r="H66" s="1027">
        <f>'PSPF Fin. Position'!F66</f>
        <v>34698022.200000003</v>
      </c>
      <c r="I66" s="1027">
        <f>'AFSC Fin. Position'!F66</f>
        <v>0</v>
      </c>
      <c r="J66" s="1056">
        <f>'PUC Fin. Position'!F66</f>
        <v>0.67630299999999999</v>
      </c>
      <c r="K66" s="1027">
        <f>'ASSB Fin. Position'!F66</f>
        <v>360254699.75</v>
      </c>
      <c r="L66" s="744">
        <f>'HAA Fin. Position'!F66</f>
        <v>0</v>
      </c>
      <c r="M66" s="744"/>
      <c r="N66" s="744"/>
    </row>
    <row r="67" spans="1:14" ht="15" customHeight="1" x14ac:dyDescent="0.3">
      <c r="A67" s="82" t="s">
        <v>44</v>
      </c>
      <c r="B67" s="371">
        <f t="shared" ref="B67:B69" si="10">C67+D67+E67+F67+G67+H67+I67+J67+K67+L67+M67+N67</f>
        <v>0</v>
      </c>
      <c r="C67" s="668">
        <f>'ADB Fin. Postition '!F67</f>
        <v>0</v>
      </c>
      <c r="D67" s="385">
        <f>'ATB Fin. Position'!F67</f>
        <v>0</v>
      </c>
      <c r="E67" s="401">
        <f>'AASPA Fin. Position'!F67</f>
        <v>0</v>
      </c>
      <c r="F67" s="385">
        <f>'ACC Fin. Position'!F67</f>
        <v>0</v>
      </c>
      <c r="G67" s="1027">
        <f>'ANT Fin. Position'!F67</f>
        <v>0</v>
      </c>
      <c r="H67" s="1027">
        <f>'PSPF Fin. Position'!F67</f>
        <v>0</v>
      </c>
      <c r="I67" s="1027">
        <f>'AFSC Fin. Position'!F67</f>
        <v>0</v>
      </c>
      <c r="J67" s="1056">
        <f>'PUC Fin. Position'!F67</f>
        <v>0</v>
      </c>
      <c r="K67" s="1027">
        <f>'ASSB Fin. Position'!F67</f>
        <v>0</v>
      </c>
      <c r="L67" s="744">
        <f>'HAA Fin. Position'!F67</f>
        <v>0</v>
      </c>
      <c r="M67" s="744"/>
      <c r="N67" s="744"/>
    </row>
    <row r="68" spans="1:14" ht="15" customHeight="1" x14ac:dyDescent="0.3">
      <c r="A68" s="82" t="s">
        <v>45</v>
      </c>
      <c r="B68" s="371">
        <f t="shared" si="10"/>
        <v>8799438.6753860004</v>
      </c>
      <c r="C68" s="668">
        <f>'ADB Fin. Postition '!F68</f>
        <v>0</v>
      </c>
      <c r="D68" s="385">
        <f>'ATB Fin. Position'!F68</f>
        <v>0</v>
      </c>
      <c r="E68" s="401">
        <f>'AASPA Fin. Position'!F68</f>
        <v>0</v>
      </c>
      <c r="F68" s="385">
        <f>'ACC Fin. Position'!F68</f>
        <v>0</v>
      </c>
      <c r="G68" s="1027">
        <f>'ANT Fin. Position'!F68</f>
        <v>0</v>
      </c>
      <c r="H68" s="1027">
        <f>'PSPF Fin. Position'!F68</f>
        <v>-2787.58</v>
      </c>
      <c r="I68" s="1027">
        <f>'AFSC Fin. Position'!F68</f>
        <v>6555621.2153860005</v>
      </c>
      <c r="J68" s="1056">
        <f>'PUC Fin. Position'!F68</f>
        <v>0</v>
      </c>
      <c r="K68" s="1027">
        <f>'ASSB Fin. Position'!F68</f>
        <v>2246605.04</v>
      </c>
      <c r="L68" s="744">
        <f>'HAA Fin. Position'!F68</f>
        <v>0</v>
      </c>
      <c r="M68" s="744"/>
      <c r="N68" s="744"/>
    </row>
    <row r="69" spans="1:14" ht="15" customHeight="1" thickBot="1" x14ac:dyDescent="0.35">
      <c r="A69" s="84" t="s">
        <v>46</v>
      </c>
      <c r="B69" s="371">
        <f t="shared" si="10"/>
        <v>41198780.156645857</v>
      </c>
      <c r="C69" s="668">
        <f>'ADB Fin. Postition '!F69</f>
        <v>8935100</v>
      </c>
      <c r="D69" s="385">
        <f>'ATB Fin. Position'!F69</f>
        <v>-315692.46000000002</v>
      </c>
      <c r="E69" s="401">
        <f>'AASPA Fin. Position'!F69</f>
        <v>13079325.15</v>
      </c>
      <c r="F69" s="385">
        <f>'ACC Fin. Position'!F69</f>
        <v>-305917.88000000012</v>
      </c>
      <c r="G69" s="1027">
        <f>'ANT Fin. Position'!F69</f>
        <v>6099888.21</v>
      </c>
      <c r="H69" s="1027">
        <f>'PSPF Fin. Position'!F69</f>
        <v>-1860082.76</v>
      </c>
      <c r="I69" s="1027">
        <f>'AFSC Fin. Position'!F69</f>
        <v>-1032639.3146060001</v>
      </c>
      <c r="J69" s="1056">
        <f>'PUC Fin. Position'!F69</f>
        <v>-1.874814E-2</v>
      </c>
      <c r="K69" s="1027">
        <f>'ASSB Fin. Position'!F69</f>
        <v>16598799.23</v>
      </c>
      <c r="L69" s="744">
        <f>'HAA Fin. Position'!F69</f>
        <v>0</v>
      </c>
      <c r="M69" s="744"/>
      <c r="N69" s="1389"/>
    </row>
    <row r="70" spans="1:14" ht="15" customHeight="1" thickBot="1" x14ac:dyDescent="0.35">
      <c r="A70" s="874" t="s">
        <v>47</v>
      </c>
      <c r="B70" s="875">
        <f>SUM(B66:B69)</f>
        <v>472485354.69833481</v>
      </c>
      <c r="C70" s="875">
        <f t="shared" ref="C70:N70" si="11">SUM(C66:C69)</f>
        <v>19490798</v>
      </c>
      <c r="D70" s="875">
        <f t="shared" si="11"/>
        <v>4999681.5</v>
      </c>
      <c r="E70" s="875">
        <f t="shared" si="11"/>
        <v>20092355.960000001</v>
      </c>
      <c r="F70" s="875">
        <f t="shared" si="11"/>
        <v>4344392.59</v>
      </c>
      <c r="G70" s="1025">
        <f t="shared" si="11"/>
        <v>6099888.21</v>
      </c>
      <c r="H70" s="1025">
        <f t="shared" si="11"/>
        <v>32835151.860000003</v>
      </c>
      <c r="I70" s="1025">
        <f>SUM(I66:I69)</f>
        <v>5522981.9007800007</v>
      </c>
      <c r="J70" s="1053">
        <f>SUM(J66:J69)</f>
        <v>0.65755485999999996</v>
      </c>
      <c r="K70" s="1025">
        <f t="shared" si="11"/>
        <v>379100104.02000004</v>
      </c>
      <c r="L70" s="1390">
        <f t="shared" si="11"/>
        <v>0</v>
      </c>
      <c r="M70" s="1390">
        <f t="shared" si="11"/>
        <v>0</v>
      </c>
      <c r="N70" s="1390">
        <f t="shared" si="11"/>
        <v>0</v>
      </c>
    </row>
    <row r="71" spans="1:14" ht="15.75" customHeight="1" thickBot="1" x14ac:dyDescent="0.35">
      <c r="A71" s="86"/>
      <c r="B71" s="741"/>
      <c r="C71" s="734"/>
      <c r="D71" s="734"/>
      <c r="E71" s="873"/>
      <c r="F71" s="734"/>
      <c r="G71" s="1047"/>
      <c r="H71" s="741"/>
      <c r="I71" s="741"/>
      <c r="J71" s="1048"/>
      <c r="K71" s="741"/>
      <c r="L71" s="1393"/>
      <c r="M71" s="1393"/>
      <c r="N71" s="1393"/>
    </row>
    <row r="72" spans="1:14" ht="16.5" customHeight="1" thickBot="1" x14ac:dyDescent="0.35">
      <c r="A72" s="879" t="s">
        <v>48</v>
      </c>
      <c r="B72" s="875">
        <f>B70+B63+B57</f>
        <v>516347081.07743281</v>
      </c>
      <c r="C72" s="875">
        <f t="shared" ref="C72:N72" si="12">C70+C63+C57</f>
        <v>20551039</v>
      </c>
      <c r="D72" s="875">
        <f t="shared" si="12"/>
        <v>5221944.18</v>
      </c>
      <c r="E72" s="877">
        <f>E70+E63+E57</f>
        <v>27259085.969999999</v>
      </c>
      <c r="F72" s="877">
        <f t="shared" si="12"/>
        <v>10775766.880000001</v>
      </c>
      <c r="G72" s="1025">
        <f t="shared" si="12"/>
        <v>6099888.21</v>
      </c>
      <c r="H72" s="1025">
        <f t="shared" si="12"/>
        <v>33493106.830000002</v>
      </c>
      <c r="I72" s="1025">
        <f t="shared" si="12"/>
        <v>20470112.429966003</v>
      </c>
      <c r="J72" s="1053">
        <f>J70+J63+J57</f>
        <v>0.79746685000000006</v>
      </c>
      <c r="K72" s="1025">
        <f t="shared" si="12"/>
        <v>392476136.78000003</v>
      </c>
      <c r="L72" s="1390">
        <f t="shared" si="12"/>
        <v>1721611.74</v>
      </c>
      <c r="M72" s="1390">
        <f t="shared" si="12"/>
        <v>0</v>
      </c>
      <c r="N72" s="1390">
        <f t="shared" si="12"/>
        <v>0</v>
      </c>
    </row>
    <row r="73" spans="1:14" ht="15.75" customHeight="1" x14ac:dyDescent="0.3">
      <c r="D73" s="1406"/>
      <c r="E73" s="1410"/>
      <c r="F73" s="1408"/>
      <c r="G73" s="1049"/>
      <c r="H73" s="729"/>
      <c r="I73" s="729"/>
      <c r="J73" s="51"/>
      <c r="K73" s="729"/>
      <c r="L73" s="729"/>
    </row>
    <row r="74" spans="1:14" ht="15.75" customHeight="1" x14ac:dyDescent="0.3">
      <c r="D74" s="1407"/>
      <c r="E74" s="1409"/>
      <c r="F74" s="1405"/>
      <c r="G74" s="1049"/>
      <c r="H74" s="729"/>
      <c r="I74" s="729"/>
      <c r="J74" s="51"/>
      <c r="K74" s="729"/>
      <c r="L74" s="729"/>
    </row>
    <row r="75" spans="1:14" ht="15.75" customHeight="1" x14ac:dyDescent="0.3">
      <c r="A75" s="49" t="s">
        <v>239</v>
      </c>
      <c r="D75" s="1407"/>
      <c r="E75" s="1412"/>
      <c r="F75" s="1413"/>
      <c r="G75" s="1049"/>
      <c r="H75" s="729"/>
      <c r="I75" s="729"/>
      <c r="J75" s="51"/>
      <c r="K75" s="729"/>
      <c r="L75" s="729"/>
    </row>
    <row r="76" spans="1:14" ht="15.75" customHeight="1" x14ac:dyDescent="0.3">
      <c r="D76" s="1407"/>
      <c r="E76" s="1411"/>
      <c r="F76" s="1405"/>
      <c r="G76" s="1049"/>
      <c r="H76" s="729"/>
      <c r="I76" s="729"/>
      <c r="J76" s="51"/>
      <c r="K76" s="729"/>
      <c r="L76" s="729"/>
    </row>
    <row r="77" spans="1:14" ht="15.75" customHeight="1" x14ac:dyDescent="0.3">
      <c r="D77" s="1407"/>
      <c r="E77" s="1412"/>
      <c r="F77" s="1405"/>
    </row>
    <row r="78" spans="1:14" ht="15.75" customHeight="1" x14ac:dyDescent="0.3">
      <c r="D78" s="1407"/>
      <c r="E78" s="1409"/>
      <c r="F78" s="1405"/>
    </row>
    <row r="79" spans="1:14" ht="15.75" customHeight="1" x14ac:dyDescent="0.3">
      <c r="E79" s="1414"/>
      <c r="F79" s="1415"/>
    </row>
  </sheetData>
  <sheetProtection algorithmName="SHA-512" hashValue="Fqb+OK4PavsKj77nP19xeBVjgmUI2aLZj4dp2WiKzIVhRqA6hinNW8QGPhD6CcDS07sriyMGhfgQ5LdcKgfkWQ==" saltValue="yeMBtx92JSZOkZgqWbkVPg==" spinCount="100000" sheet="1" objects="1" scenarios="1"/>
  <mergeCells count="7">
    <mergeCell ref="E6:X6"/>
    <mergeCell ref="A7:C7"/>
    <mergeCell ref="A1:C1"/>
    <mergeCell ref="A3:C3"/>
    <mergeCell ref="A4:C4"/>
    <mergeCell ref="A5:C5"/>
    <mergeCell ref="A6:C6"/>
  </mergeCells>
  <pageMargins left="0.7" right="0.7" top="0.75" bottom="0.75" header="0.3" footer="0.3"/>
  <pageSetup paperSize="17" scale="49"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pageSetUpPr fitToPage="1"/>
  </sheetPr>
  <dimension ref="A1:F72"/>
  <sheetViews>
    <sheetView topLeftCell="A7" zoomScale="75" zoomScaleNormal="75" workbookViewId="0">
      <selection activeCell="F18" sqref="F18"/>
    </sheetView>
  </sheetViews>
  <sheetFormatPr defaultColWidth="8.85546875" defaultRowHeight="15.75" customHeight="1" x14ac:dyDescent="0.3"/>
  <cols>
    <col min="1" max="1" width="64.42578125" style="49" customWidth="1"/>
    <col min="2" max="2" width="16.42578125" style="414" customWidth="1"/>
    <col min="3" max="3" width="16.85546875" style="414" customWidth="1"/>
    <col min="4" max="4" width="18.140625" style="414" customWidth="1"/>
    <col min="5" max="5" width="17" style="414" customWidth="1"/>
    <col min="6" max="6" width="17.42578125" style="414" customWidth="1"/>
    <col min="7" max="231" width="8.85546875" style="49" customWidth="1"/>
    <col min="232" max="16384" width="8.85546875" style="49"/>
  </cols>
  <sheetData>
    <row r="1" spans="1:6" ht="18.75" customHeight="1" x14ac:dyDescent="0.3">
      <c r="A1" s="1418" t="s">
        <v>49</v>
      </c>
      <c r="B1" s="1419"/>
      <c r="C1" s="1419"/>
      <c r="D1" s="1419"/>
      <c r="E1" s="1419"/>
      <c r="F1" s="1419"/>
    </row>
    <row r="2" spans="1:6" ht="15" customHeight="1" x14ac:dyDescent="0.3">
      <c r="A2" s="50"/>
      <c r="B2" s="357"/>
      <c r="C2" s="357"/>
      <c r="D2" s="357"/>
      <c r="E2" s="357"/>
      <c r="F2" s="357"/>
    </row>
    <row r="3" spans="1:6" s="52" customFormat="1" ht="18.75" customHeight="1" x14ac:dyDescent="0.3">
      <c r="A3" s="1420" t="s">
        <v>176</v>
      </c>
      <c r="B3" s="1421"/>
      <c r="C3" s="1421"/>
      <c r="D3" s="1421"/>
      <c r="E3" s="1421"/>
      <c r="F3" s="1421"/>
    </row>
    <row r="4" spans="1:6" ht="18.75" customHeight="1" x14ac:dyDescent="0.3">
      <c r="A4" s="1422" t="s">
        <v>0</v>
      </c>
      <c r="B4" s="1423"/>
      <c r="C4" s="1423"/>
      <c r="D4" s="1423"/>
      <c r="E4" s="1423"/>
      <c r="F4" s="1423"/>
    </row>
    <row r="5" spans="1:6" ht="18.75" customHeight="1" x14ac:dyDescent="0.3">
      <c r="A5" s="1422" t="s">
        <v>1</v>
      </c>
      <c r="B5" s="1424"/>
      <c r="C5" s="1424"/>
      <c r="D5" s="1424"/>
      <c r="E5" s="1424"/>
      <c r="F5" s="1424"/>
    </row>
    <row r="6" spans="1:6" ht="18.75" customHeight="1" x14ac:dyDescent="0.3">
      <c r="A6" s="1420" t="s">
        <v>194</v>
      </c>
      <c r="B6" s="1425"/>
      <c r="C6" s="1425"/>
      <c r="D6" s="1425"/>
      <c r="E6" s="1425"/>
      <c r="F6" s="1425"/>
    </row>
    <row r="7" spans="1:6" ht="18.75" customHeight="1" x14ac:dyDescent="0.3">
      <c r="A7" s="1416" t="s">
        <v>2</v>
      </c>
      <c r="B7" s="1417"/>
      <c r="C7" s="1417"/>
      <c r="D7" s="1417"/>
      <c r="E7" s="1417"/>
      <c r="F7" s="1417"/>
    </row>
    <row r="8" spans="1:6" ht="16.5" customHeight="1" thickBot="1" x14ac:dyDescent="0.35">
      <c r="A8" s="309"/>
      <c r="B8" s="358"/>
      <c r="C8" s="358"/>
      <c r="D8" s="358"/>
      <c r="E8" s="358"/>
      <c r="F8" s="358"/>
    </row>
    <row r="9" spans="1:6" ht="17.45" customHeight="1" x14ac:dyDescent="0.3">
      <c r="A9" s="312"/>
      <c r="B9" s="360" t="s">
        <v>164</v>
      </c>
      <c r="C9" s="360" t="s">
        <v>165</v>
      </c>
      <c r="D9" s="623" t="s">
        <v>166</v>
      </c>
      <c r="E9" s="360" t="s">
        <v>167</v>
      </c>
      <c r="F9" s="624" t="s">
        <v>3</v>
      </c>
    </row>
    <row r="10" spans="1:6" ht="15" customHeight="1" x14ac:dyDescent="0.3">
      <c r="A10" s="314"/>
      <c r="B10" s="59">
        <v>44927</v>
      </c>
      <c r="C10" s="59">
        <v>45016</v>
      </c>
      <c r="D10" s="752">
        <v>45107</v>
      </c>
      <c r="E10" s="59">
        <v>45199</v>
      </c>
      <c r="F10" s="753">
        <v>45291</v>
      </c>
    </row>
    <row r="11" spans="1:6" ht="15" customHeight="1" thickBot="1" x14ac:dyDescent="0.35">
      <c r="A11" s="316"/>
      <c r="B11" s="362" t="s">
        <v>107</v>
      </c>
      <c r="C11" s="362" t="s">
        <v>107</v>
      </c>
      <c r="D11" s="625" t="s">
        <v>107</v>
      </c>
      <c r="E11" s="362" t="s">
        <v>107</v>
      </c>
      <c r="F11" s="626" t="s">
        <v>107</v>
      </c>
    </row>
    <row r="12" spans="1:6" ht="15" customHeight="1" x14ac:dyDescent="0.3">
      <c r="A12" s="319" t="s">
        <v>4</v>
      </c>
      <c r="B12" s="369"/>
      <c r="C12" s="369"/>
      <c r="D12" s="365"/>
      <c r="E12" s="369"/>
      <c r="F12" s="367"/>
    </row>
    <row r="13" spans="1:6" ht="15" customHeight="1" x14ac:dyDescent="0.3">
      <c r="A13" s="322" t="s">
        <v>5</v>
      </c>
      <c r="B13" s="371"/>
      <c r="C13" s="371"/>
      <c r="D13" s="370"/>
      <c r="E13" s="371"/>
      <c r="F13" s="372"/>
    </row>
    <row r="14" spans="1:6" ht="15" customHeight="1" x14ac:dyDescent="0.3">
      <c r="A14" s="324" t="s">
        <v>6</v>
      </c>
      <c r="B14" s="954">
        <v>1254032.04</v>
      </c>
      <c r="C14" s="954">
        <v>1296907.45</v>
      </c>
      <c r="D14" s="370">
        <v>1839181.84</v>
      </c>
      <c r="E14" s="371">
        <v>2029487.44</v>
      </c>
      <c r="F14" s="371">
        <v>1798008.4999999998</v>
      </c>
    </row>
    <row r="15" spans="1:6" ht="15" customHeight="1" x14ac:dyDescent="0.3">
      <c r="A15" s="325" t="s">
        <v>7</v>
      </c>
      <c r="B15" s="954">
        <v>97097.919999999984</v>
      </c>
      <c r="C15" s="954">
        <v>184422.05000000002</v>
      </c>
      <c r="D15" s="370">
        <v>220236.24000000002</v>
      </c>
      <c r="E15" s="371">
        <v>332967.53999999986</v>
      </c>
      <c r="F15" s="371">
        <v>188974.83</v>
      </c>
    </row>
    <row r="16" spans="1:6" ht="15" customHeight="1" x14ac:dyDescent="0.3">
      <c r="A16" s="325" t="s">
        <v>8</v>
      </c>
      <c r="B16" s="954">
        <v>688288.88</v>
      </c>
      <c r="C16" s="954">
        <v>552343.56999999995</v>
      </c>
      <c r="D16" s="370">
        <v>552343.56999999995</v>
      </c>
      <c r="E16" s="371">
        <v>577951.4</v>
      </c>
      <c r="F16" s="371">
        <v>812490.75</v>
      </c>
    </row>
    <row r="17" spans="1:6" ht="15" customHeight="1" x14ac:dyDescent="0.3">
      <c r="A17" s="325" t="s">
        <v>9</v>
      </c>
      <c r="B17" s="954">
        <v>0</v>
      </c>
      <c r="C17" s="954">
        <v>1</v>
      </c>
      <c r="D17" s="370">
        <v>0</v>
      </c>
      <c r="E17" s="371">
        <v>0</v>
      </c>
      <c r="F17" s="371">
        <v>0</v>
      </c>
    </row>
    <row r="18" spans="1:6" ht="15" customHeight="1" x14ac:dyDescent="0.3">
      <c r="A18" s="325" t="s">
        <v>10</v>
      </c>
      <c r="B18" s="954">
        <v>2788.4</v>
      </c>
      <c r="C18" s="954">
        <v>2788.4</v>
      </c>
      <c r="D18" s="370">
        <v>2788.4</v>
      </c>
      <c r="E18" s="371">
        <v>2788.4</v>
      </c>
      <c r="F18" s="371">
        <v>2835.58</v>
      </c>
    </row>
    <row r="19" spans="1:6" ht="15" customHeight="1" x14ac:dyDescent="0.3">
      <c r="A19" s="326" t="s">
        <v>11</v>
      </c>
      <c r="B19" s="1062">
        <v>0</v>
      </c>
      <c r="C19" s="1062">
        <v>0</v>
      </c>
      <c r="D19" s="370">
        <v>0</v>
      </c>
      <c r="E19" s="371">
        <v>0</v>
      </c>
      <c r="F19" s="371">
        <v>0</v>
      </c>
    </row>
    <row r="20" spans="1:6" ht="15" customHeight="1" x14ac:dyDescent="0.3">
      <c r="A20" s="327" t="s">
        <v>12</v>
      </c>
      <c r="B20" s="377">
        <f>SUM(B14:B19)</f>
        <v>2042207.2399999998</v>
      </c>
      <c r="C20" s="377">
        <f>SUM(C14:C19)</f>
        <v>2036462.4699999997</v>
      </c>
      <c r="D20" s="376">
        <f>SUM(D14:D19)</f>
        <v>2614550.0499999998</v>
      </c>
      <c r="E20" s="377">
        <f>SUM(E14:E19)</f>
        <v>2943194.78</v>
      </c>
      <c r="F20" s="378">
        <f>SUM(F14:F19)</f>
        <v>2802309.66</v>
      </c>
    </row>
    <row r="21" spans="1:6" ht="15" customHeight="1" x14ac:dyDescent="0.3">
      <c r="A21" s="328"/>
      <c r="B21" s="380"/>
      <c r="C21" s="380"/>
      <c r="D21" s="379"/>
      <c r="E21" s="380"/>
      <c r="F21" s="381"/>
    </row>
    <row r="22" spans="1:6" ht="15" customHeight="1" x14ac:dyDescent="0.3">
      <c r="A22" s="329" t="s">
        <v>13</v>
      </c>
      <c r="B22" s="371"/>
      <c r="C22" s="371"/>
      <c r="D22" s="370"/>
      <c r="E22" s="371"/>
      <c r="F22" s="372"/>
    </row>
    <row r="23" spans="1:6" ht="15" customHeight="1" x14ac:dyDescent="0.3">
      <c r="A23" s="325" t="s">
        <v>14</v>
      </c>
      <c r="B23" s="371">
        <v>0</v>
      </c>
      <c r="C23" s="371">
        <v>0</v>
      </c>
      <c r="D23" s="370">
        <v>0</v>
      </c>
      <c r="E23" s="371">
        <v>0</v>
      </c>
      <c r="F23" s="371">
        <v>0</v>
      </c>
    </row>
    <row r="24" spans="1:6" ht="15" customHeight="1" x14ac:dyDescent="0.3">
      <c r="A24" s="325" t="s">
        <v>15</v>
      </c>
      <c r="B24" s="371">
        <v>0</v>
      </c>
      <c r="C24" s="371">
        <v>0</v>
      </c>
      <c r="D24" s="370">
        <v>0</v>
      </c>
      <c r="E24" s="371">
        <v>0</v>
      </c>
      <c r="F24" s="371">
        <v>0</v>
      </c>
    </row>
    <row r="25" spans="1:6" ht="15" customHeight="1" x14ac:dyDescent="0.3">
      <c r="A25" s="325" t="s">
        <v>16</v>
      </c>
      <c r="B25" s="371">
        <v>0</v>
      </c>
      <c r="C25" s="371">
        <v>0</v>
      </c>
      <c r="D25" s="370">
        <v>0</v>
      </c>
      <c r="E25" s="371">
        <v>0</v>
      </c>
      <c r="F25" s="371">
        <v>0</v>
      </c>
    </row>
    <row r="26" spans="1:6" ht="15" customHeight="1" x14ac:dyDescent="0.3">
      <c r="A26" s="325" t="s">
        <v>17</v>
      </c>
      <c r="B26" s="371">
        <v>347263.29</v>
      </c>
      <c r="C26" s="371">
        <v>347263.29</v>
      </c>
      <c r="D26" s="370">
        <v>347263.29</v>
      </c>
      <c r="E26" s="371">
        <v>347263.29</v>
      </c>
      <c r="F26" s="371">
        <v>351478.4</v>
      </c>
    </row>
    <row r="27" spans="1:6" ht="15" customHeight="1" x14ac:dyDescent="0.3">
      <c r="A27" s="325" t="s">
        <v>119</v>
      </c>
      <c r="B27" s="371">
        <v>0</v>
      </c>
      <c r="C27" s="371">
        <v>0</v>
      </c>
      <c r="D27" s="370">
        <v>0</v>
      </c>
      <c r="E27" s="371">
        <v>0</v>
      </c>
      <c r="F27" s="371">
        <v>0</v>
      </c>
    </row>
    <row r="28" spans="1:6" ht="15" customHeight="1" x14ac:dyDescent="0.3">
      <c r="A28" s="325" t="s">
        <v>118</v>
      </c>
      <c r="B28" s="371">
        <v>0</v>
      </c>
      <c r="C28" s="371">
        <v>0</v>
      </c>
      <c r="D28" s="370">
        <v>0</v>
      </c>
      <c r="E28" s="371">
        <v>0</v>
      </c>
      <c r="F28" s="371">
        <v>0</v>
      </c>
    </row>
    <row r="29" spans="1:6" ht="15" customHeight="1" x14ac:dyDescent="0.3">
      <c r="A29" s="326" t="s">
        <v>18</v>
      </c>
      <c r="B29" s="374">
        <v>0</v>
      </c>
      <c r="C29" s="374">
        <v>0</v>
      </c>
      <c r="D29" s="370">
        <v>0</v>
      </c>
      <c r="E29" s="371">
        <v>0</v>
      </c>
      <c r="F29" s="371">
        <v>0</v>
      </c>
    </row>
    <row r="30" spans="1:6" ht="15" customHeight="1" x14ac:dyDescent="0.3">
      <c r="A30" s="327" t="s">
        <v>19</v>
      </c>
      <c r="B30" s="377">
        <f>SUM(B23:B29)</f>
        <v>347263.29</v>
      </c>
      <c r="C30" s="377">
        <f>SUM(C23:C29)</f>
        <v>347263.29</v>
      </c>
      <c r="D30" s="376">
        <f>SUM(D23:D29)</f>
        <v>347263.29</v>
      </c>
      <c r="E30" s="377">
        <f>SUM(E23:E29)</f>
        <v>347263.29</v>
      </c>
      <c r="F30" s="378">
        <f>SUM(F23:F29)</f>
        <v>351478.4</v>
      </c>
    </row>
    <row r="31" spans="1:6" ht="15" customHeight="1" x14ac:dyDescent="0.3">
      <c r="A31" s="328"/>
      <c r="B31" s="380"/>
      <c r="C31" s="380"/>
      <c r="D31" s="379"/>
      <c r="E31" s="380"/>
      <c r="F31" s="381"/>
    </row>
    <row r="32" spans="1:6" ht="15" customHeight="1" x14ac:dyDescent="0.3">
      <c r="A32" s="329" t="s">
        <v>20</v>
      </c>
      <c r="B32" s="385"/>
      <c r="C32" s="385"/>
      <c r="D32" s="384"/>
      <c r="E32" s="385"/>
      <c r="F32" s="386"/>
    </row>
    <row r="33" spans="1:6" ht="15" customHeight="1" x14ac:dyDescent="0.3">
      <c r="A33" s="306" t="s">
        <v>21</v>
      </c>
      <c r="B33" s="385">
        <v>6297105.5799999991</v>
      </c>
      <c r="C33" s="385">
        <v>6274835.3599999994</v>
      </c>
      <c r="D33" s="384">
        <v>6253111.7199999997</v>
      </c>
      <c r="E33" s="385">
        <v>6276010.1399999997</v>
      </c>
      <c r="F33" s="386">
        <v>6249190.3799999999</v>
      </c>
    </row>
    <row r="34" spans="1:6" ht="15" customHeight="1" x14ac:dyDescent="0.3">
      <c r="A34" s="306" t="s">
        <v>22</v>
      </c>
      <c r="B34" s="385">
        <v>61010.75</v>
      </c>
      <c r="C34" s="385">
        <v>67021.56</v>
      </c>
      <c r="D34" s="384">
        <v>62728.510000000009</v>
      </c>
      <c r="E34" s="385">
        <v>57834.84</v>
      </c>
      <c r="F34" s="386">
        <v>54502.900000000009</v>
      </c>
    </row>
    <row r="35" spans="1:6" ht="15" customHeight="1" x14ac:dyDescent="0.3">
      <c r="A35" s="306" t="s">
        <v>23</v>
      </c>
      <c r="B35" s="385">
        <v>0</v>
      </c>
      <c r="C35" s="385">
        <v>0</v>
      </c>
      <c r="D35" s="384">
        <v>0</v>
      </c>
      <c r="E35" s="385">
        <v>0</v>
      </c>
      <c r="F35" s="386">
        <v>0</v>
      </c>
    </row>
    <row r="36" spans="1:6" ht="15" customHeight="1" x14ac:dyDescent="0.3">
      <c r="A36" s="306" t="s">
        <v>24</v>
      </c>
      <c r="B36" s="385">
        <v>121467.64000000001</v>
      </c>
      <c r="C36" s="385">
        <v>113916.11000000002</v>
      </c>
      <c r="D36" s="384">
        <v>106364.62</v>
      </c>
      <c r="E36" s="385">
        <v>130559.94</v>
      </c>
      <c r="F36" s="386">
        <v>125525.42000000001</v>
      </c>
    </row>
    <row r="37" spans="1:6" ht="15" customHeight="1" x14ac:dyDescent="0.3">
      <c r="A37" s="306" t="s">
        <v>25</v>
      </c>
      <c r="B37" s="385">
        <v>989.7699999999968</v>
      </c>
      <c r="C37" s="385">
        <v>-1979.3400000000038</v>
      </c>
      <c r="D37" s="384">
        <v>5.9999999997671694E-2</v>
      </c>
      <c r="E37" s="385">
        <v>-989.64000000000669</v>
      </c>
      <c r="F37" s="386">
        <v>-989.64000000000669</v>
      </c>
    </row>
    <row r="38" spans="1:6" ht="15" customHeight="1" x14ac:dyDescent="0.3">
      <c r="A38" s="307" t="s">
        <v>26</v>
      </c>
      <c r="B38" s="388">
        <v>1166225.55</v>
      </c>
      <c r="C38" s="388">
        <v>1163331.8499999999</v>
      </c>
      <c r="D38" s="384">
        <v>1160437.71</v>
      </c>
      <c r="E38" s="385">
        <v>1179010.07</v>
      </c>
      <c r="F38" s="386">
        <v>1193749.5499999998</v>
      </c>
    </row>
    <row r="39" spans="1:6" ht="15" customHeight="1" x14ac:dyDescent="0.3">
      <c r="A39" s="327" t="s">
        <v>27</v>
      </c>
      <c r="B39" s="377">
        <f>SUM(B32:B38)</f>
        <v>7646799.2899999982</v>
      </c>
      <c r="C39" s="377">
        <f>SUM(C32:C38)</f>
        <v>7617125.5399999991</v>
      </c>
      <c r="D39" s="376">
        <f>SUM(D32:D38)</f>
        <v>7582642.6199999992</v>
      </c>
      <c r="E39" s="377">
        <f>SUM(E32:E38)</f>
        <v>7642425.3500000006</v>
      </c>
      <c r="F39" s="378">
        <f>SUM(F32:F38)</f>
        <v>7621978.6100000003</v>
      </c>
    </row>
    <row r="40" spans="1:6" ht="15" customHeight="1" x14ac:dyDescent="0.3">
      <c r="A40" s="330"/>
      <c r="B40" s="390"/>
      <c r="C40" s="390"/>
      <c r="D40" s="389"/>
      <c r="E40" s="390"/>
      <c r="F40" s="391"/>
    </row>
    <row r="41" spans="1:6" ht="15" customHeight="1" x14ac:dyDescent="0.3">
      <c r="A41" s="322" t="s">
        <v>28</v>
      </c>
      <c r="B41" s="371">
        <v>0</v>
      </c>
      <c r="C41" s="371">
        <v>0</v>
      </c>
      <c r="D41" s="370">
        <v>0</v>
      </c>
      <c r="E41" s="371">
        <v>0</v>
      </c>
      <c r="F41" s="372">
        <v>0</v>
      </c>
    </row>
    <row r="42" spans="1:6" ht="15" customHeight="1" x14ac:dyDescent="0.3">
      <c r="A42" s="331"/>
      <c r="B42" s="388"/>
      <c r="C42" s="388"/>
      <c r="D42" s="393"/>
      <c r="E42" s="388"/>
      <c r="F42" s="394"/>
    </row>
    <row r="43" spans="1:6" ht="15" customHeight="1" x14ac:dyDescent="0.3">
      <c r="A43" s="327" t="s">
        <v>29</v>
      </c>
      <c r="B43" s="377">
        <f>B20+B30+B39+B41</f>
        <v>10036269.819999998</v>
      </c>
      <c r="C43" s="377">
        <f>C20+C30+C39+C41</f>
        <v>10000851.299999999</v>
      </c>
      <c r="D43" s="376">
        <f>D20+D30+D39+D41</f>
        <v>10544455.959999999</v>
      </c>
      <c r="E43" s="377">
        <f>E20+E30+E39+E41</f>
        <v>10932883.42</v>
      </c>
      <c r="F43" s="378">
        <f>F20+F30+F39+F41</f>
        <v>10775766.67</v>
      </c>
    </row>
    <row r="44" spans="1:6" ht="15" customHeight="1" x14ac:dyDescent="0.3">
      <c r="A44" s="332"/>
      <c r="B44" s="398"/>
      <c r="C44" s="398"/>
      <c r="D44" s="397"/>
      <c r="E44" s="398"/>
      <c r="F44" s="399"/>
    </row>
    <row r="45" spans="1:6" ht="15" customHeight="1" x14ac:dyDescent="0.3">
      <c r="A45" s="322" t="s">
        <v>30</v>
      </c>
      <c r="B45" s="385"/>
      <c r="C45" s="385"/>
      <c r="D45" s="384"/>
      <c r="E45" s="385"/>
      <c r="F45" s="386"/>
    </row>
    <row r="46" spans="1:6" ht="15" customHeight="1" x14ac:dyDescent="0.3">
      <c r="A46" s="333"/>
      <c r="B46" s="385"/>
      <c r="C46" s="385"/>
      <c r="D46" s="384"/>
      <c r="E46" s="385"/>
      <c r="F46" s="386"/>
    </row>
    <row r="47" spans="1:6" ht="15" customHeight="1" x14ac:dyDescent="0.3">
      <c r="A47" s="322" t="s">
        <v>31</v>
      </c>
      <c r="B47" s="371"/>
      <c r="C47" s="371"/>
      <c r="D47" s="370"/>
      <c r="E47" s="371"/>
      <c r="F47" s="372"/>
    </row>
    <row r="48" spans="1:6" ht="15" customHeight="1" x14ac:dyDescent="0.3">
      <c r="A48" s="306" t="s">
        <v>32</v>
      </c>
      <c r="B48" s="385">
        <v>266056.37</v>
      </c>
      <c r="C48" s="385">
        <v>225793.46</v>
      </c>
      <c r="D48" s="384">
        <v>213159.46000000002</v>
      </c>
      <c r="E48" s="385">
        <v>181490.77</v>
      </c>
      <c r="F48" s="386">
        <v>279124.00999999995</v>
      </c>
    </row>
    <row r="49" spans="1:6" ht="15" customHeight="1" x14ac:dyDescent="0.3">
      <c r="A49" s="334" t="s">
        <v>50</v>
      </c>
      <c r="B49" s="385">
        <v>-448.44</v>
      </c>
      <c r="C49" s="385">
        <v>0</v>
      </c>
      <c r="D49" s="384">
        <v>-448.44</v>
      </c>
      <c r="E49" s="385">
        <v>-448.44</v>
      </c>
      <c r="F49" s="386">
        <v>-448.44</v>
      </c>
    </row>
    <row r="50" spans="1:6" ht="15" customHeight="1" x14ac:dyDescent="0.3">
      <c r="A50" s="334" t="s">
        <v>168</v>
      </c>
      <c r="B50" s="385">
        <v>0.01</v>
      </c>
      <c r="C50" s="385">
        <v>0.01</v>
      </c>
      <c r="D50" s="384">
        <v>2.0099999999999998</v>
      </c>
      <c r="E50" s="385">
        <v>2.0099999999999998</v>
      </c>
      <c r="F50" s="386">
        <v>0.01</v>
      </c>
    </row>
    <row r="51" spans="1:6" ht="15" customHeight="1" x14ac:dyDescent="0.3">
      <c r="A51" s="334" t="s">
        <v>109</v>
      </c>
      <c r="B51" s="385">
        <v>0</v>
      </c>
      <c r="C51" s="385">
        <v>0</v>
      </c>
      <c r="D51" s="384">
        <v>0</v>
      </c>
      <c r="E51" s="385">
        <v>0</v>
      </c>
      <c r="F51" s="386">
        <v>0</v>
      </c>
    </row>
    <row r="52" spans="1:6" ht="15" customHeight="1" x14ac:dyDescent="0.3">
      <c r="A52" s="334" t="s">
        <v>33</v>
      </c>
      <c r="B52" s="385">
        <v>0</v>
      </c>
      <c r="C52" s="385">
        <v>0</v>
      </c>
      <c r="D52" s="384">
        <v>0</v>
      </c>
      <c r="E52" s="385">
        <v>0</v>
      </c>
      <c r="F52" s="386">
        <v>0</v>
      </c>
    </row>
    <row r="53" spans="1:6" ht="15" customHeight="1" x14ac:dyDescent="0.3">
      <c r="A53" s="334" t="s">
        <v>34</v>
      </c>
      <c r="B53" s="385">
        <v>0</v>
      </c>
      <c r="C53" s="385">
        <v>0</v>
      </c>
      <c r="D53" s="384">
        <v>0</v>
      </c>
      <c r="E53" s="385">
        <v>0</v>
      </c>
      <c r="F53" s="386">
        <v>0</v>
      </c>
    </row>
    <row r="54" spans="1:6" ht="15" customHeight="1" x14ac:dyDescent="0.3">
      <c r="A54" s="306" t="s">
        <v>35</v>
      </c>
      <c r="B54" s="385">
        <v>1126458.54</v>
      </c>
      <c r="C54" s="385">
        <v>1140458.54</v>
      </c>
      <c r="D54" s="384">
        <v>1140458.54</v>
      </c>
      <c r="E54" s="385">
        <v>1140458.54</v>
      </c>
      <c r="F54" s="386">
        <v>666858.6</v>
      </c>
    </row>
    <row r="55" spans="1:6" ht="15" customHeight="1" x14ac:dyDescent="0.3">
      <c r="A55" s="306" t="s">
        <v>36</v>
      </c>
      <c r="B55" s="385">
        <v>0</v>
      </c>
      <c r="C55" s="385"/>
      <c r="D55" s="384">
        <v>0</v>
      </c>
      <c r="E55" s="385">
        <v>0</v>
      </c>
      <c r="F55" s="386">
        <v>0</v>
      </c>
    </row>
    <row r="56" spans="1:6" ht="15" customHeight="1" x14ac:dyDescent="0.3">
      <c r="A56" s="307" t="s">
        <v>37</v>
      </c>
      <c r="B56" s="388">
        <v>83304.31</v>
      </c>
      <c r="C56" s="388">
        <v>74390.63</v>
      </c>
      <c r="D56" s="384">
        <v>76635.63</v>
      </c>
      <c r="E56" s="385">
        <v>79332.240000000005</v>
      </c>
      <c r="F56" s="386">
        <v>84385.920000000013</v>
      </c>
    </row>
    <row r="57" spans="1:6" ht="15" customHeight="1" x14ac:dyDescent="0.3">
      <c r="A57" s="327" t="s">
        <v>38</v>
      </c>
      <c r="B57" s="377">
        <f>SUM(B48:B56)</f>
        <v>1475370.79</v>
      </c>
      <c r="C57" s="377">
        <f>SUM(C48:C56)</f>
        <v>1440642.6400000001</v>
      </c>
      <c r="D57" s="376">
        <f>SUM(D48:D56)</f>
        <v>1429807.2000000002</v>
      </c>
      <c r="E57" s="377">
        <f>SUM(E48:E56)</f>
        <v>1400835.12</v>
      </c>
      <c r="F57" s="378">
        <f>SUM(F48:F56)</f>
        <v>1029920.1</v>
      </c>
    </row>
    <row r="58" spans="1:6" ht="15" customHeight="1" x14ac:dyDescent="0.3">
      <c r="A58" s="335"/>
      <c r="B58" s="380"/>
      <c r="C58" s="380"/>
      <c r="D58" s="379"/>
      <c r="E58" s="380"/>
      <c r="F58" s="381"/>
    </row>
    <row r="59" spans="1:6" ht="15" customHeight="1" x14ac:dyDescent="0.3">
      <c r="A59" s="322" t="s">
        <v>39</v>
      </c>
      <c r="B59" s="385"/>
      <c r="C59" s="385"/>
      <c r="D59" s="384"/>
      <c r="E59" s="385"/>
      <c r="F59" s="386"/>
    </row>
    <row r="60" spans="1:6" ht="15" customHeight="1" x14ac:dyDescent="0.3">
      <c r="A60" s="306" t="s">
        <v>117</v>
      </c>
      <c r="B60" s="385">
        <v>6197438.9100000001</v>
      </c>
      <c r="C60" s="385">
        <v>6075168.0700000003</v>
      </c>
      <c r="D60" s="384">
        <v>5830624.7300000004</v>
      </c>
      <c r="E60" s="385">
        <v>5647219.7300000004</v>
      </c>
      <c r="F60" s="386">
        <v>5383223.9900000002</v>
      </c>
    </row>
    <row r="61" spans="1:6" ht="15" customHeight="1" x14ac:dyDescent="0.3">
      <c r="A61" s="306" t="s">
        <v>40</v>
      </c>
      <c r="B61" s="385">
        <v>18230.2</v>
      </c>
      <c r="C61" s="385">
        <v>18230.2</v>
      </c>
      <c r="D61" s="384">
        <v>18230.2</v>
      </c>
      <c r="E61" s="385">
        <v>18230.2</v>
      </c>
      <c r="F61" s="386">
        <v>18230.2</v>
      </c>
    </row>
    <row r="62" spans="1:6" ht="15" customHeight="1" x14ac:dyDescent="0.3">
      <c r="A62" s="308"/>
      <c r="B62" s="388"/>
      <c r="C62" s="388"/>
      <c r="D62" s="393"/>
      <c r="E62" s="388"/>
      <c r="F62" s="394"/>
    </row>
    <row r="63" spans="1:6" ht="15" customHeight="1" x14ac:dyDescent="0.3">
      <c r="A63" s="327" t="s">
        <v>41</v>
      </c>
      <c r="B63" s="377">
        <f>SUM(B60:B62)</f>
        <v>6215669.1100000003</v>
      </c>
      <c r="C63" s="377">
        <f>SUM(C60:C62)</f>
        <v>6093398.2700000005</v>
      </c>
      <c r="D63" s="376">
        <f>SUM(D60:D62)</f>
        <v>5848854.9300000006</v>
      </c>
      <c r="E63" s="377">
        <f>SUM(E60:E62)</f>
        <v>5665449.9300000006</v>
      </c>
      <c r="F63" s="378">
        <f>SUM(F60:F62)</f>
        <v>5401454.1900000004</v>
      </c>
    </row>
    <row r="64" spans="1:6" ht="15" customHeight="1" x14ac:dyDescent="0.3">
      <c r="A64" s="335"/>
      <c r="B64" s="380"/>
      <c r="C64" s="380"/>
      <c r="D64" s="379"/>
      <c r="E64" s="380"/>
      <c r="F64" s="381"/>
    </row>
    <row r="65" spans="1:6" ht="15" customHeight="1" x14ac:dyDescent="0.3">
      <c r="A65" s="322" t="s">
        <v>42</v>
      </c>
      <c r="B65" s="385"/>
      <c r="C65" s="385"/>
      <c r="D65" s="384"/>
      <c r="E65" s="385"/>
      <c r="F65" s="386"/>
    </row>
    <row r="66" spans="1:6" ht="15" customHeight="1" x14ac:dyDescent="0.3">
      <c r="A66" s="306" t="s">
        <v>43</v>
      </c>
      <c r="B66" s="385">
        <v>4650310.47</v>
      </c>
      <c r="C66" s="385">
        <v>4650310.47</v>
      </c>
      <c r="D66" s="384">
        <v>4650310.47</v>
      </c>
      <c r="E66" s="385">
        <v>4650310.47</v>
      </c>
      <c r="F66" s="386">
        <v>4650310.47</v>
      </c>
    </row>
    <row r="67" spans="1:6" ht="15" customHeight="1" x14ac:dyDescent="0.3">
      <c r="A67" s="306" t="s">
        <v>44</v>
      </c>
      <c r="B67" s="385">
        <v>0</v>
      </c>
      <c r="C67" s="385">
        <v>0</v>
      </c>
      <c r="D67" s="384">
        <v>0</v>
      </c>
      <c r="E67" s="385">
        <v>0</v>
      </c>
      <c r="F67" s="386">
        <v>0</v>
      </c>
    </row>
    <row r="68" spans="1:6" ht="15" customHeight="1" x14ac:dyDescent="0.3">
      <c r="A68" s="306" t="s">
        <v>45</v>
      </c>
      <c r="B68" s="385">
        <v>0</v>
      </c>
      <c r="C68" s="385">
        <v>0</v>
      </c>
      <c r="D68" s="384">
        <v>0</v>
      </c>
      <c r="E68" s="385">
        <v>0</v>
      </c>
      <c r="F68" s="386">
        <v>0</v>
      </c>
    </row>
    <row r="69" spans="1:6" ht="15" customHeight="1" x14ac:dyDescent="0.3">
      <c r="A69" s="307" t="s">
        <v>46</v>
      </c>
      <c r="B69" s="405">
        <v>-2305080.35</v>
      </c>
      <c r="C69" s="404">
        <v>-2183500.88</v>
      </c>
      <c r="D69" s="884">
        <v>-1384516.44</v>
      </c>
      <c r="E69" s="385">
        <v>-783711.90000000014</v>
      </c>
      <c r="F69" s="386">
        <v>-305917.88000000012</v>
      </c>
    </row>
    <row r="70" spans="1:6" ht="15" customHeight="1" x14ac:dyDescent="0.3">
      <c r="A70" s="327" t="s">
        <v>47</v>
      </c>
      <c r="B70" s="377">
        <f>SUM(B66:B69)</f>
        <v>2345230.1199999996</v>
      </c>
      <c r="C70" s="377">
        <f>SUM(C66:C69)</f>
        <v>2466809.59</v>
      </c>
      <c r="D70" s="376">
        <f>SUM(D66:D69)</f>
        <v>3265794.03</v>
      </c>
      <c r="E70" s="377">
        <f>SUM(E66:E69)</f>
        <v>3866598.5699999994</v>
      </c>
      <c r="F70" s="378">
        <f>SUM(F66:F69)</f>
        <v>4344392.59</v>
      </c>
    </row>
    <row r="71" spans="1:6" ht="15.75" customHeight="1" x14ac:dyDescent="0.3">
      <c r="A71" s="336"/>
      <c r="B71" s="407"/>
      <c r="C71" s="407"/>
      <c r="D71" s="406"/>
      <c r="E71" s="407"/>
      <c r="F71" s="408"/>
    </row>
    <row r="72" spans="1:6" ht="16.5" customHeight="1" thickBot="1" x14ac:dyDescent="0.35">
      <c r="A72" s="337" t="s">
        <v>48</v>
      </c>
      <c r="B72" s="411">
        <f>B70+B63+B57</f>
        <v>10036270.02</v>
      </c>
      <c r="C72" s="411">
        <f>C70+C63+C57</f>
        <v>10000850.5</v>
      </c>
      <c r="D72" s="410">
        <f>D70+D63+D57</f>
        <v>10544456.16</v>
      </c>
      <c r="E72" s="411">
        <f>E70+E63+E57</f>
        <v>10932883.620000001</v>
      </c>
      <c r="F72" s="412">
        <f>F70+F63+F57</f>
        <v>10775766.880000001</v>
      </c>
    </row>
  </sheetData>
  <sheetProtection algorithmName="SHA-512" hashValue="apA+DCAxUvIdmsI/UEEGU3dLCTqEbcxRXekNfX5IhXkQjJoZ41+ChZxi2RkzvfRCNW46Ha+d2LxX4ZsgnWAmhA==" saltValue="6tBRd5eguA6LzG6366Or3w==" spinCount="100000" sheet="1" objects="1" scenarios="1"/>
  <mergeCells count="6">
    <mergeCell ref="A7:F7"/>
    <mergeCell ref="A1:F1"/>
    <mergeCell ref="A3:F3"/>
    <mergeCell ref="A4:F4"/>
    <mergeCell ref="A5:F5"/>
    <mergeCell ref="A6:F6"/>
  </mergeCells>
  <pageMargins left="0.7" right="0.7" top="0.75" bottom="0.75" header="0.3" footer="0.3"/>
  <pageSetup scale="60"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pageSetUpPr fitToPage="1"/>
  </sheetPr>
  <dimension ref="A1:AE83"/>
  <sheetViews>
    <sheetView view="pageBreakPreview" zoomScale="60" zoomScaleNormal="77" workbookViewId="0">
      <pane xSplit="1" ySplit="11" topLeftCell="N60" activePane="bottomRight" state="frozen"/>
      <selection pane="topRight" activeCell="B1" sqref="B1"/>
      <selection pane="bottomLeft" activeCell="A12" sqref="A12"/>
      <selection pane="bottomRight" activeCell="W83" sqref="W83"/>
    </sheetView>
  </sheetViews>
  <sheetFormatPr defaultRowHeight="18.75" x14ac:dyDescent="0.3"/>
  <cols>
    <col min="1" max="1" width="71.140625" style="49" customWidth="1"/>
    <col min="2" max="3" width="15.42578125" style="414" customWidth="1"/>
    <col min="4" max="4" width="13.85546875" style="414" customWidth="1"/>
    <col min="5" max="5" width="9.42578125" style="49" customWidth="1"/>
    <col min="6" max="6" width="1" style="49" customWidth="1"/>
    <col min="7" max="7" width="15.28515625" style="414" customWidth="1"/>
    <col min="8" max="8" width="15.85546875" style="414" customWidth="1"/>
    <col min="9" max="9" width="14.85546875" style="414" customWidth="1"/>
    <col min="10" max="10" width="9" style="49" customWidth="1"/>
    <col min="11" max="11" width="1.140625" style="49" customWidth="1"/>
    <col min="12" max="12" width="16.140625" style="414" customWidth="1"/>
    <col min="13" max="13" width="15.28515625" style="414" customWidth="1"/>
    <col min="14" max="14" width="14.85546875" style="414" customWidth="1"/>
    <col min="15" max="15" width="8.85546875" style="49" customWidth="1"/>
    <col min="16" max="16" width="1" style="49" customWidth="1"/>
    <col min="17" max="17" width="15.85546875" style="414" customWidth="1"/>
    <col min="18" max="18" width="16" style="414" customWidth="1"/>
    <col min="19" max="19" width="15.85546875" style="414" customWidth="1"/>
    <col min="20" max="20" width="9" style="49" customWidth="1"/>
    <col min="21" max="21" width="1.28515625" style="49" customWidth="1"/>
    <col min="22" max="23" width="15.85546875" style="414" customWidth="1"/>
    <col min="24" max="24" width="16.42578125" style="414" customWidth="1"/>
    <col min="25" max="25" width="8.42578125" style="49" customWidth="1"/>
    <col min="26" max="26" width="1" style="49" customWidth="1"/>
    <col min="27" max="27" width="16.28515625" style="414" customWidth="1"/>
    <col min="28" max="28" width="17.140625" style="414" customWidth="1"/>
    <col min="29" max="29" width="8.140625" style="49" customWidth="1"/>
    <col min="30" max="30" width="1" style="49" customWidth="1"/>
    <col min="31" max="31" width="66.42578125" style="49" customWidth="1"/>
    <col min="32" max="16384" width="9.140625" style="49"/>
  </cols>
  <sheetData>
    <row r="1" spans="1:31" x14ac:dyDescent="0.3">
      <c r="A1" s="1102" t="s">
        <v>49</v>
      </c>
      <c r="B1" s="497"/>
      <c r="C1" s="497"/>
      <c r="D1" s="497"/>
      <c r="E1" s="497"/>
      <c r="F1" s="496"/>
      <c r="G1" s="496"/>
      <c r="H1" s="496"/>
      <c r="I1" s="415"/>
      <c r="J1" s="496"/>
      <c r="K1" s="89"/>
      <c r="L1" s="416"/>
      <c r="M1" s="416"/>
      <c r="N1" s="416"/>
      <c r="O1" s="89"/>
      <c r="P1" s="120"/>
      <c r="Q1" s="415"/>
      <c r="R1" s="417"/>
      <c r="S1" s="429"/>
      <c r="T1" s="497"/>
      <c r="U1" s="120"/>
      <c r="V1" s="430"/>
      <c r="W1" s="430"/>
      <c r="X1" s="430"/>
      <c r="Y1" s="120"/>
      <c r="Z1" s="120"/>
      <c r="AA1" s="430"/>
      <c r="AB1" s="430"/>
      <c r="AC1" s="120"/>
      <c r="AD1" s="120"/>
      <c r="AE1" s="124"/>
    </row>
    <row r="2" spans="1:31" x14ac:dyDescent="0.3">
      <c r="A2" s="1112"/>
      <c r="B2" s="419"/>
      <c r="C2" s="419"/>
      <c r="D2" s="419"/>
      <c r="E2" s="498"/>
      <c r="F2" s="96"/>
      <c r="G2" s="418"/>
      <c r="H2" s="418"/>
      <c r="I2" s="418"/>
      <c r="J2" s="96"/>
      <c r="K2" s="97"/>
      <c r="L2" s="357"/>
      <c r="M2" s="357"/>
      <c r="N2" s="357"/>
      <c r="O2" s="97"/>
      <c r="P2" s="97"/>
      <c r="Q2" s="418"/>
      <c r="R2" s="419"/>
      <c r="S2" s="431"/>
      <c r="T2" s="498"/>
      <c r="U2" s="97"/>
      <c r="V2" s="432"/>
      <c r="W2" s="432"/>
      <c r="X2" s="432"/>
      <c r="Y2" s="134"/>
      <c r="Z2" s="97"/>
      <c r="AA2" s="432"/>
      <c r="AB2" s="432"/>
      <c r="AC2" s="134"/>
      <c r="AD2" s="97"/>
      <c r="AE2" s="129"/>
    </row>
    <row r="3" spans="1:31" s="52" customFormat="1" x14ac:dyDescent="0.3">
      <c r="A3" s="1103" t="s">
        <v>176</v>
      </c>
      <c r="B3" s="500"/>
      <c r="C3" s="500"/>
      <c r="D3" s="500"/>
      <c r="E3" s="500"/>
      <c r="F3" s="504"/>
      <c r="G3" s="504"/>
      <c r="H3" s="504"/>
      <c r="I3" s="420"/>
      <c r="J3" s="499"/>
      <c r="K3" s="103"/>
      <c r="L3" s="421"/>
      <c r="M3" s="421"/>
      <c r="N3" s="421"/>
      <c r="O3" s="103"/>
      <c r="P3" s="130"/>
      <c r="Q3" s="420"/>
      <c r="R3" s="422"/>
      <c r="S3" s="428"/>
      <c r="T3" s="500"/>
      <c r="U3" s="130"/>
      <c r="V3" s="433"/>
      <c r="W3" s="433"/>
      <c r="X3" s="433"/>
      <c r="Y3" s="130"/>
      <c r="Z3" s="130"/>
      <c r="AA3" s="433"/>
      <c r="AB3" s="433"/>
      <c r="AC3" s="130"/>
      <c r="AD3" s="130"/>
      <c r="AE3" s="133"/>
    </row>
    <row r="4" spans="1:31" x14ac:dyDescent="0.3">
      <c r="A4" s="1105" t="s">
        <v>51</v>
      </c>
      <c r="B4" s="1106"/>
      <c r="C4" s="1106"/>
      <c r="D4" s="1106"/>
      <c r="E4" s="1106"/>
      <c r="F4" s="501"/>
      <c r="G4" s="501"/>
      <c r="H4" s="501"/>
      <c r="I4" s="418"/>
      <c r="J4" s="501"/>
      <c r="K4" s="108"/>
      <c r="L4" s="423"/>
      <c r="M4" s="423"/>
      <c r="N4" s="423"/>
      <c r="O4" s="108"/>
      <c r="P4" s="134"/>
      <c r="Q4" s="424"/>
      <c r="R4" s="425"/>
      <c r="S4" s="431"/>
      <c r="T4" s="502"/>
      <c r="U4" s="134"/>
      <c r="V4" s="432"/>
      <c r="W4" s="432"/>
      <c r="X4" s="432"/>
      <c r="Y4" s="134"/>
      <c r="Z4" s="134"/>
      <c r="AA4" s="432"/>
      <c r="AB4" s="432"/>
      <c r="AC4" s="134"/>
      <c r="AD4" s="134"/>
      <c r="AE4" s="129"/>
    </row>
    <row r="5" spans="1:31" x14ac:dyDescent="0.3">
      <c r="A5" s="1105" t="s">
        <v>52</v>
      </c>
      <c r="B5" s="498"/>
      <c r="C5" s="498"/>
      <c r="D5" s="498"/>
      <c r="E5" s="498"/>
      <c r="F5" s="96"/>
      <c r="G5" s="96"/>
      <c r="H5" s="96"/>
      <c r="I5" s="418"/>
      <c r="J5" s="96"/>
      <c r="K5" s="108"/>
      <c r="L5" s="423"/>
      <c r="M5" s="423"/>
      <c r="N5" s="423"/>
      <c r="O5" s="108"/>
      <c r="P5" s="134"/>
      <c r="Q5" s="424"/>
      <c r="R5" s="425"/>
      <c r="S5" s="431"/>
      <c r="T5" s="502"/>
      <c r="U5" s="134"/>
      <c r="V5" s="432"/>
      <c r="W5" s="432"/>
      <c r="X5" s="432"/>
      <c r="Y5" s="134"/>
      <c r="Z5" s="134"/>
      <c r="AA5" s="432"/>
      <c r="AB5" s="432"/>
      <c r="AC5" s="134"/>
      <c r="AD5" s="134"/>
      <c r="AE5" s="129"/>
    </row>
    <row r="6" spans="1:31" s="52" customFormat="1" x14ac:dyDescent="0.3">
      <c r="A6" s="1103" t="s">
        <v>194</v>
      </c>
      <c r="B6" s="1107"/>
      <c r="C6" s="1107"/>
      <c r="D6" s="1107"/>
      <c r="E6" s="1107"/>
      <c r="F6" s="885"/>
      <c r="G6" s="885"/>
      <c r="H6" s="885"/>
      <c r="I6" s="420"/>
      <c r="J6" s="499"/>
      <c r="K6" s="114"/>
      <c r="L6" s="426"/>
      <c r="M6" s="426"/>
      <c r="N6" s="426"/>
      <c r="O6" s="114"/>
      <c r="P6" s="130"/>
      <c r="Q6" s="427"/>
      <c r="R6" s="428"/>
      <c r="S6" s="428"/>
      <c r="T6" s="503"/>
      <c r="U6" s="130"/>
      <c r="V6" s="433"/>
      <c r="W6" s="433"/>
      <c r="X6" s="433"/>
      <c r="Y6" s="130"/>
      <c r="Z6" s="130"/>
      <c r="AA6" s="421"/>
      <c r="AB6" s="421"/>
      <c r="AC6" s="130"/>
      <c r="AD6" s="130"/>
      <c r="AE6" s="133"/>
    </row>
    <row r="7" spans="1:31" s="52" customFormat="1" x14ac:dyDescent="0.3">
      <c r="A7" s="1101" t="s">
        <v>2</v>
      </c>
      <c r="B7" s="500"/>
      <c r="C7" s="500"/>
      <c r="D7" s="500"/>
      <c r="E7" s="500"/>
      <c r="F7" s="504"/>
      <c r="G7" s="504"/>
      <c r="H7" s="504"/>
      <c r="I7" s="420"/>
      <c r="J7" s="504"/>
      <c r="K7" s="114"/>
      <c r="L7" s="426"/>
      <c r="M7" s="426"/>
      <c r="N7" s="426"/>
      <c r="O7" s="114"/>
      <c r="P7" s="130"/>
      <c r="Q7" s="427"/>
      <c r="R7" s="428"/>
      <c r="S7" s="428"/>
      <c r="T7" s="503"/>
      <c r="U7" s="130"/>
      <c r="V7" s="433"/>
      <c r="W7" s="433"/>
      <c r="X7" s="433"/>
      <c r="Y7" s="130"/>
      <c r="Z7" s="130"/>
      <c r="AA7" s="433"/>
      <c r="AB7" s="433"/>
      <c r="AC7" s="130"/>
      <c r="AD7" s="130"/>
      <c r="AE7" s="133"/>
    </row>
    <row r="8" spans="1:31" ht="19.5" thickBot="1" x14ac:dyDescent="0.35">
      <c r="A8" s="505" t="s">
        <v>173</v>
      </c>
      <c r="B8" s="1111"/>
      <c r="C8" s="1110"/>
      <c r="D8" s="1110"/>
      <c r="E8" s="1109"/>
      <c r="F8" s="134"/>
      <c r="G8" s="432"/>
      <c r="H8" s="432"/>
      <c r="I8" s="432"/>
      <c r="J8" s="134"/>
      <c r="K8" s="134"/>
      <c r="L8" s="432"/>
      <c r="M8" s="432"/>
      <c r="N8" s="432"/>
      <c r="O8" s="134"/>
      <c r="P8" s="134"/>
      <c r="Q8" s="432"/>
      <c r="R8" s="432"/>
      <c r="S8" s="432"/>
      <c r="T8" s="134"/>
      <c r="U8" s="138"/>
      <c r="V8" s="432"/>
      <c r="W8" s="432"/>
      <c r="X8" s="432"/>
      <c r="Y8" s="134"/>
      <c r="Z8" s="138"/>
      <c r="AA8" s="432"/>
      <c r="AB8" s="432"/>
      <c r="AC8" s="134"/>
      <c r="AD8" s="138"/>
      <c r="AE8" s="139"/>
    </row>
    <row r="9" spans="1:31" x14ac:dyDescent="0.3">
      <c r="A9" s="506"/>
      <c r="B9" s="1476" t="s">
        <v>53</v>
      </c>
      <c r="C9" s="1448"/>
      <c r="D9" s="1448"/>
      <c r="E9" s="1449"/>
      <c r="F9" s="946"/>
      <c r="G9" s="1476" t="s">
        <v>54</v>
      </c>
      <c r="H9" s="1448"/>
      <c r="I9" s="1448"/>
      <c r="J9" s="1449"/>
      <c r="K9" s="946"/>
      <c r="L9" s="1477" t="s">
        <v>55</v>
      </c>
      <c r="M9" s="1456"/>
      <c r="N9" s="1456"/>
      <c r="O9" s="1457"/>
      <c r="P9" s="946"/>
      <c r="Q9" s="1476" t="s">
        <v>56</v>
      </c>
      <c r="R9" s="1448"/>
      <c r="S9" s="1448"/>
      <c r="T9" s="1449"/>
      <c r="U9" s="141"/>
      <c r="V9" s="1455" t="s">
        <v>57</v>
      </c>
      <c r="W9" s="1456"/>
      <c r="X9" s="1456"/>
      <c r="Y9" s="1457"/>
      <c r="Z9" s="141"/>
      <c r="AA9" s="1455" t="s">
        <v>196</v>
      </c>
      <c r="AB9" s="1456"/>
      <c r="AC9" s="1457"/>
      <c r="AD9" s="142"/>
      <c r="AE9" s="1439" t="s">
        <v>58</v>
      </c>
    </row>
    <row r="10" spans="1:31" ht="37.5" x14ac:dyDescent="0.3">
      <c r="A10" s="507" t="s">
        <v>59</v>
      </c>
      <c r="B10" s="627" t="s">
        <v>60</v>
      </c>
      <c r="C10" s="437" t="s">
        <v>61</v>
      </c>
      <c r="D10" s="1445" t="s">
        <v>62</v>
      </c>
      <c r="E10" s="1442"/>
      <c r="F10" s="947"/>
      <c r="G10" s="938" t="s">
        <v>60</v>
      </c>
      <c r="H10" s="648" t="s">
        <v>61</v>
      </c>
      <c r="I10" s="1441" t="s">
        <v>62</v>
      </c>
      <c r="J10" s="1442"/>
      <c r="K10" s="947"/>
      <c r="L10" s="627" t="s">
        <v>60</v>
      </c>
      <c r="M10" s="437" t="s">
        <v>61</v>
      </c>
      <c r="N10" s="1445" t="s">
        <v>62</v>
      </c>
      <c r="O10" s="1442"/>
      <c r="P10" s="947"/>
      <c r="Q10" s="627" t="s">
        <v>60</v>
      </c>
      <c r="R10" s="437" t="s">
        <v>61</v>
      </c>
      <c r="S10" s="1445" t="s">
        <v>62</v>
      </c>
      <c r="T10" s="1442"/>
      <c r="U10" s="145"/>
      <c r="V10" s="436" t="s">
        <v>60</v>
      </c>
      <c r="W10" s="437" t="s">
        <v>61</v>
      </c>
      <c r="X10" s="1445" t="s">
        <v>62</v>
      </c>
      <c r="Y10" s="1442"/>
      <c r="Z10" s="145"/>
      <c r="AA10" s="438" t="s">
        <v>63</v>
      </c>
      <c r="AB10" s="1445" t="s">
        <v>64</v>
      </c>
      <c r="AC10" s="1442"/>
      <c r="AD10" s="149"/>
      <c r="AE10" s="1440"/>
    </row>
    <row r="11" spans="1:31" ht="19.5" thickBot="1" x14ac:dyDescent="0.35">
      <c r="A11" s="508"/>
      <c r="B11" s="628" t="s">
        <v>107</v>
      </c>
      <c r="C11" s="629" t="s">
        <v>107</v>
      </c>
      <c r="D11" s="630" t="s">
        <v>107</v>
      </c>
      <c r="E11" s="509" t="s">
        <v>65</v>
      </c>
      <c r="F11" s="948"/>
      <c r="G11" s="650" t="s">
        <v>107</v>
      </c>
      <c r="H11" s="649" t="s">
        <v>107</v>
      </c>
      <c r="I11" s="650" t="s">
        <v>107</v>
      </c>
      <c r="J11" s="510" t="s">
        <v>65</v>
      </c>
      <c r="K11" s="948"/>
      <c r="L11" s="952" t="s">
        <v>107</v>
      </c>
      <c r="M11" s="657" t="s">
        <v>107</v>
      </c>
      <c r="N11" s="658" t="s">
        <v>107</v>
      </c>
      <c r="O11" s="510" t="s">
        <v>65</v>
      </c>
      <c r="P11" s="948"/>
      <c r="Q11" s="952" t="s">
        <v>107</v>
      </c>
      <c r="R11" s="657" t="s">
        <v>107</v>
      </c>
      <c r="S11" s="658" t="s">
        <v>107</v>
      </c>
      <c r="T11" s="510" t="s">
        <v>65</v>
      </c>
      <c r="U11" s="154"/>
      <c r="V11" s="656" t="s">
        <v>107</v>
      </c>
      <c r="W11" s="657" t="s">
        <v>107</v>
      </c>
      <c r="X11" s="658" t="s">
        <v>107</v>
      </c>
      <c r="Y11" s="510" t="s">
        <v>65</v>
      </c>
      <c r="Z11" s="154"/>
      <c r="AA11" s="656" t="s">
        <v>107</v>
      </c>
      <c r="AB11" s="658" t="s">
        <v>107</v>
      </c>
      <c r="AC11" s="510" t="s">
        <v>65</v>
      </c>
      <c r="AD11" s="162"/>
      <c r="AE11" s="1475"/>
    </row>
    <row r="12" spans="1:31" ht="19.5" thickBot="1" x14ac:dyDescent="0.35">
      <c r="A12" s="511"/>
      <c r="B12" s="893"/>
      <c r="C12" s="632"/>
      <c r="D12" s="894"/>
      <c r="E12" s="512"/>
      <c r="F12" s="949"/>
      <c r="G12" s="631"/>
      <c r="H12" s="445"/>
      <c r="I12" s="631"/>
      <c r="J12" s="512"/>
      <c r="K12" s="949"/>
      <c r="L12" s="632"/>
      <c r="M12" s="660"/>
      <c r="N12" s="633"/>
      <c r="O12" s="512"/>
      <c r="P12" s="949"/>
      <c r="Q12" s="632"/>
      <c r="R12" s="660"/>
      <c r="S12" s="633"/>
      <c r="T12" s="512"/>
      <c r="U12" s="167"/>
      <c r="V12" s="659"/>
      <c r="W12" s="660"/>
      <c r="X12" s="633"/>
      <c r="Y12" s="512"/>
      <c r="Z12" s="167"/>
      <c r="AA12" s="659"/>
      <c r="AB12" s="633"/>
      <c r="AC12" s="512"/>
      <c r="AD12" s="513"/>
      <c r="AE12" s="514"/>
    </row>
    <row r="13" spans="1:31" x14ac:dyDescent="0.3">
      <c r="A13" s="515" t="s">
        <v>66</v>
      </c>
      <c r="B13" s="888"/>
      <c r="C13" s="889"/>
      <c r="D13" s="890"/>
      <c r="E13" s="891"/>
      <c r="F13" s="933"/>
      <c r="G13" s="939"/>
      <c r="H13" s="651"/>
      <c r="I13" s="644"/>
      <c r="J13" s="517"/>
      <c r="K13" s="933"/>
      <c r="L13" s="644"/>
      <c r="M13" s="474"/>
      <c r="N13" s="474"/>
      <c r="O13" s="517"/>
      <c r="P13" s="933"/>
      <c r="Q13" s="644"/>
      <c r="R13" s="474"/>
      <c r="S13" s="474"/>
      <c r="T13" s="517"/>
      <c r="U13" s="175"/>
      <c r="V13" s="473"/>
      <c r="W13" s="474"/>
      <c r="X13" s="474"/>
      <c r="Y13" s="517"/>
      <c r="Z13" s="175"/>
      <c r="AA13" s="473"/>
      <c r="AB13" s="474"/>
      <c r="AC13" s="517"/>
      <c r="AD13" s="518"/>
      <c r="AE13" s="519"/>
    </row>
    <row r="14" spans="1:31" x14ac:dyDescent="0.3">
      <c r="A14" s="520" t="s">
        <v>132</v>
      </c>
      <c r="B14" s="892">
        <v>203963.64000000004</v>
      </c>
      <c r="C14" s="636">
        <v>210602.44</v>
      </c>
      <c r="D14" s="451">
        <f>C14-B14</f>
        <v>6638.7999999999593</v>
      </c>
      <c r="E14" s="222">
        <f>IF(ISERROR(D14/B14),"-",D14/B14)</f>
        <v>3.2548938624550716E-2</v>
      </c>
      <c r="F14" s="934"/>
      <c r="G14" s="635">
        <v>146302.05000000002</v>
      </c>
      <c r="H14" s="652">
        <v>93472.569999999992</v>
      </c>
      <c r="I14" s="451">
        <f>H14-G14</f>
        <v>-52829.480000000025</v>
      </c>
      <c r="J14" s="220">
        <f t="shared" ref="J14:J25" si="0">IF(ISERROR(I14/G14),"-",I14/G14)</f>
        <v>-0.36109869957392954</v>
      </c>
      <c r="K14" s="934"/>
      <c r="L14" s="635">
        <v>319986.03999999992</v>
      </c>
      <c r="M14" s="652">
        <v>304330.73000000004</v>
      </c>
      <c r="N14" s="451">
        <f>M14-L14</f>
        <v>-15655.309999999881</v>
      </c>
      <c r="O14" s="220">
        <f t="shared" ref="O14:O25" si="1">IF(ISERROR(N14/L14),"-",N14/L14)</f>
        <v>-4.892497810216935E-2</v>
      </c>
      <c r="P14" s="934"/>
      <c r="Q14" s="635">
        <v>2500</v>
      </c>
      <c r="R14" s="652">
        <v>48282.68</v>
      </c>
      <c r="S14" s="451">
        <f>R14-Q14</f>
        <v>45782.68</v>
      </c>
      <c r="T14" s="220">
        <f>IF(ISERROR(S14/Q14),"-",S14/Q14)</f>
        <v>18.313072000000002</v>
      </c>
      <c r="U14" s="184"/>
      <c r="V14" s="450">
        <v>672751.73</v>
      </c>
      <c r="W14" s="451">
        <v>656688.42000000004</v>
      </c>
      <c r="X14" s="451">
        <f>W14-V14</f>
        <v>-16063.309999999939</v>
      </c>
      <c r="Y14" s="220">
        <f t="shared" ref="Y14:Y25" si="2">IF(ISERROR(X14/V14),"-",X14/V14)</f>
        <v>-2.3877025184312704E-2</v>
      </c>
      <c r="Z14" s="184"/>
      <c r="AA14" s="450">
        <v>670251.73</v>
      </c>
      <c r="AB14" s="451">
        <f>AA14-W14</f>
        <v>13563.309999999939</v>
      </c>
      <c r="AC14" s="220">
        <f t="shared" ref="AC14:AC25" si="3">IF(ISERROR(AB14/AA14),"-",AB14/AA14)</f>
        <v>2.0236143217414657E-2</v>
      </c>
      <c r="AD14" s="521"/>
      <c r="AE14" s="522"/>
    </row>
    <row r="15" spans="1:31" x14ac:dyDescent="0.3">
      <c r="A15" s="523" t="s">
        <v>111</v>
      </c>
      <c r="B15" s="637">
        <v>0</v>
      </c>
      <c r="C15" s="638">
        <v>1</v>
      </c>
      <c r="D15" s="451">
        <f t="shared" ref="D15:D24" si="4">C15-B15</f>
        <v>1</v>
      </c>
      <c r="E15" s="222" t="str">
        <f t="shared" ref="E15:E24" si="5">IF(ISERROR(D15/B15),"-",D15/B15)</f>
        <v>-</v>
      </c>
      <c r="F15" s="934"/>
      <c r="G15" s="637">
        <v>0</v>
      </c>
      <c r="H15" s="653">
        <v>1</v>
      </c>
      <c r="I15" s="451">
        <f t="shared" ref="I15:I24" si="6">H15-G15</f>
        <v>1</v>
      </c>
      <c r="J15" s="220" t="str">
        <f t="shared" si="0"/>
        <v>-</v>
      </c>
      <c r="K15" s="934"/>
      <c r="L15" s="635">
        <v>1</v>
      </c>
      <c r="M15" s="652">
        <v>1</v>
      </c>
      <c r="N15" s="451">
        <f t="shared" ref="N15:N24" si="7">M15-L15</f>
        <v>0</v>
      </c>
      <c r="O15" s="294">
        <f t="shared" si="1"/>
        <v>0</v>
      </c>
      <c r="P15" s="934"/>
      <c r="Q15" s="635">
        <v>1</v>
      </c>
      <c r="R15" s="652">
        <v>1</v>
      </c>
      <c r="S15" s="451">
        <f t="shared" ref="S15:S24" si="8">R15-Q15</f>
        <v>0</v>
      </c>
      <c r="T15" s="294">
        <f t="shared" ref="T15:T29" si="9">IF(ISERROR(S15/Q15),"-",S15/Q15)</f>
        <v>0</v>
      </c>
      <c r="U15" s="184"/>
      <c r="V15" s="450">
        <v>2</v>
      </c>
      <c r="W15" s="451">
        <v>4</v>
      </c>
      <c r="X15" s="451">
        <f t="shared" ref="X15:X24" si="10">W15-V15</f>
        <v>2</v>
      </c>
      <c r="Y15" s="294">
        <f t="shared" si="2"/>
        <v>1</v>
      </c>
      <c r="Z15" s="184"/>
      <c r="AA15" s="450">
        <v>0</v>
      </c>
      <c r="AB15" s="451">
        <f t="shared" ref="AB15:AB24" si="11">AA15-W15</f>
        <v>-4</v>
      </c>
      <c r="AC15" s="294" t="str">
        <f t="shared" si="3"/>
        <v>-</v>
      </c>
      <c r="AD15" s="521"/>
      <c r="AE15" s="522"/>
    </row>
    <row r="16" spans="1:31" x14ac:dyDescent="0.3">
      <c r="A16" s="523" t="s">
        <v>69</v>
      </c>
      <c r="B16" s="637">
        <v>0</v>
      </c>
      <c r="C16" s="638">
        <v>0</v>
      </c>
      <c r="D16" s="451">
        <f t="shared" si="4"/>
        <v>0</v>
      </c>
      <c r="E16" s="222" t="str">
        <f t="shared" si="5"/>
        <v>-</v>
      </c>
      <c r="F16" s="935"/>
      <c r="G16" s="637">
        <v>0</v>
      </c>
      <c r="H16" s="653">
        <v>0</v>
      </c>
      <c r="I16" s="451">
        <f t="shared" si="6"/>
        <v>0</v>
      </c>
      <c r="J16" s="220" t="str">
        <f t="shared" si="0"/>
        <v>-</v>
      </c>
      <c r="K16" s="935"/>
      <c r="L16" s="635">
        <v>0</v>
      </c>
      <c r="M16" s="652">
        <v>0</v>
      </c>
      <c r="N16" s="451">
        <f t="shared" si="7"/>
        <v>0</v>
      </c>
      <c r="O16" s="220" t="str">
        <f t="shared" si="1"/>
        <v>-</v>
      </c>
      <c r="P16" s="935"/>
      <c r="Q16" s="635">
        <v>2500</v>
      </c>
      <c r="R16" s="652">
        <v>2500</v>
      </c>
      <c r="S16" s="451">
        <f t="shared" si="8"/>
        <v>0</v>
      </c>
      <c r="T16" s="220">
        <f t="shared" si="9"/>
        <v>0</v>
      </c>
      <c r="U16" s="191"/>
      <c r="V16" s="450">
        <v>2500</v>
      </c>
      <c r="W16" s="451">
        <v>2500</v>
      </c>
      <c r="X16" s="451">
        <f t="shared" si="10"/>
        <v>0</v>
      </c>
      <c r="Y16" s="220">
        <f>IF(ISERROR(X16/V16),"-",X16/V16)</f>
        <v>0</v>
      </c>
      <c r="Z16" s="191"/>
      <c r="AA16" s="450">
        <v>2500</v>
      </c>
      <c r="AB16" s="451">
        <f t="shared" si="11"/>
        <v>0</v>
      </c>
      <c r="AC16" s="220">
        <f t="shared" si="3"/>
        <v>0</v>
      </c>
      <c r="AD16" s="524"/>
      <c r="AE16" s="525"/>
    </row>
    <row r="17" spans="1:31" x14ac:dyDescent="0.3">
      <c r="A17" s="523" t="s">
        <v>68</v>
      </c>
      <c r="B17" s="637">
        <v>0</v>
      </c>
      <c r="C17" s="638">
        <v>0</v>
      </c>
      <c r="D17" s="451">
        <f t="shared" si="4"/>
        <v>0</v>
      </c>
      <c r="E17" s="222" t="str">
        <f t="shared" si="5"/>
        <v>-</v>
      </c>
      <c r="F17" s="934"/>
      <c r="G17" s="637">
        <v>0</v>
      </c>
      <c r="H17" s="653">
        <v>0</v>
      </c>
      <c r="I17" s="451">
        <f t="shared" si="6"/>
        <v>0</v>
      </c>
      <c r="J17" s="220" t="str">
        <f t="shared" si="0"/>
        <v>-</v>
      </c>
      <c r="K17" s="934"/>
      <c r="L17" s="635">
        <v>0</v>
      </c>
      <c r="M17" s="652">
        <v>0</v>
      </c>
      <c r="N17" s="451">
        <f t="shared" si="7"/>
        <v>0</v>
      </c>
      <c r="O17" s="220" t="str">
        <f t="shared" si="1"/>
        <v>-</v>
      </c>
      <c r="P17" s="934"/>
      <c r="Q17" s="635">
        <v>0</v>
      </c>
      <c r="R17" s="652">
        <v>0</v>
      </c>
      <c r="S17" s="451">
        <f t="shared" si="8"/>
        <v>0</v>
      </c>
      <c r="T17" s="220" t="str">
        <f t="shared" si="9"/>
        <v>-</v>
      </c>
      <c r="U17" s="184"/>
      <c r="V17" s="450">
        <v>0</v>
      </c>
      <c r="W17" s="451">
        <v>0</v>
      </c>
      <c r="X17" s="451">
        <f t="shared" si="10"/>
        <v>0</v>
      </c>
      <c r="Y17" s="220" t="str">
        <f t="shared" si="2"/>
        <v>-</v>
      </c>
      <c r="Z17" s="184"/>
      <c r="AA17" s="450">
        <v>0</v>
      </c>
      <c r="AB17" s="451">
        <f t="shared" si="11"/>
        <v>0</v>
      </c>
      <c r="AC17" s="220" t="str">
        <f t="shared" si="3"/>
        <v>-</v>
      </c>
      <c r="AD17" s="521"/>
      <c r="AE17" s="522"/>
    </row>
    <row r="18" spans="1:31" x14ac:dyDescent="0.3">
      <c r="A18" s="523" t="s">
        <v>71</v>
      </c>
      <c r="B18" s="637">
        <v>0</v>
      </c>
      <c r="C18" s="638">
        <v>0</v>
      </c>
      <c r="D18" s="451">
        <f>C18-B18</f>
        <v>0</v>
      </c>
      <c r="E18" s="222" t="str">
        <f t="shared" si="5"/>
        <v>-</v>
      </c>
      <c r="F18" s="934"/>
      <c r="G18" s="637">
        <v>0</v>
      </c>
      <c r="H18" s="653">
        <v>0</v>
      </c>
      <c r="I18" s="451">
        <f t="shared" si="6"/>
        <v>0</v>
      </c>
      <c r="J18" s="220" t="str">
        <f t="shared" si="0"/>
        <v>-</v>
      </c>
      <c r="K18" s="934"/>
      <c r="L18" s="635">
        <v>0</v>
      </c>
      <c r="M18" s="652">
        <v>0</v>
      </c>
      <c r="N18" s="451">
        <f t="shared" si="7"/>
        <v>0</v>
      </c>
      <c r="O18" s="294" t="str">
        <f t="shared" si="1"/>
        <v>-</v>
      </c>
      <c r="P18" s="934"/>
      <c r="Q18" s="635">
        <v>0</v>
      </c>
      <c r="R18" s="652">
        <v>0</v>
      </c>
      <c r="S18" s="451">
        <f t="shared" si="8"/>
        <v>0</v>
      </c>
      <c r="T18" s="294" t="str">
        <f t="shared" si="9"/>
        <v>-</v>
      </c>
      <c r="U18" s="184"/>
      <c r="V18" s="450">
        <v>0</v>
      </c>
      <c r="W18" s="451">
        <v>0</v>
      </c>
      <c r="X18" s="451">
        <f t="shared" si="10"/>
        <v>0</v>
      </c>
      <c r="Y18" s="294" t="str">
        <f t="shared" si="2"/>
        <v>-</v>
      </c>
      <c r="Z18" s="184"/>
      <c r="AA18" s="450">
        <v>0</v>
      </c>
      <c r="AB18" s="451">
        <f t="shared" si="11"/>
        <v>0</v>
      </c>
      <c r="AC18" s="294" t="str">
        <f t="shared" si="3"/>
        <v>-</v>
      </c>
      <c r="AD18" s="521"/>
      <c r="AE18" s="522"/>
    </row>
    <row r="19" spans="1:31" x14ac:dyDescent="0.3">
      <c r="A19" s="523" t="s">
        <v>202</v>
      </c>
      <c r="B19" s="637">
        <v>0</v>
      </c>
      <c r="C19" s="638">
        <v>0</v>
      </c>
      <c r="D19" s="451">
        <f>C19-B19</f>
        <v>0</v>
      </c>
      <c r="E19" s="222" t="str">
        <f t="shared" si="5"/>
        <v>-</v>
      </c>
      <c r="F19" s="934"/>
      <c r="G19" s="637">
        <v>0</v>
      </c>
      <c r="H19" s="653">
        <v>0</v>
      </c>
      <c r="I19" s="451">
        <f t="shared" si="6"/>
        <v>0</v>
      </c>
      <c r="J19" s="220" t="str">
        <f t="shared" si="0"/>
        <v>-</v>
      </c>
      <c r="K19" s="934"/>
      <c r="L19" s="635">
        <v>0</v>
      </c>
      <c r="M19" s="652">
        <v>0</v>
      </c>
      <c r="N19" s="451">
        <f t="shared" si="7"/>
        <v>0</v>
      </c>
      <c r="O19" s="294" t="str">
        <f t="shared" si="1"/>
        <v>-</v>
      </c>
      <c r="P19" s="934"/>
      <c r="Q19" s="635">
        <v>0</v>
      </c>
      <c r="R19" s="652">
        <v>0</v>
      </c>
      <c r="S19" s="451">
        <f t="shared" si="8"/>
        <v>0</v>
      </c>
      <c r="T19" s="294" t="str">
        <f t="shared" si="9"/>
        <v>-</v>
      </c>
      <c r="U19" s="184"/>
      <c r="V19" s="450">
        <f t="shared" ref="V19:W19" si="12">B19+G19+L19+Q19</f>
        <v>0</v>
      </c>
      <c r="W19" s="451">
        <f t="shared" si="12"/>
        <v>0</v>
      </c>
      <c r="X19" s="451">
        <f t="shared" si="10"/>
        <v>0</v>
      </c>
      <c r="Y19" s="294" t="str">
        <f t="shared" si="2"/>
        <v>-</v>
      </c>
      <c r="Z19" s="184"/>
      <c r="AA19" s="450">
        <v>0</v>
      </c>
      <c r="AB19" s="451">
        <f t="shared" si="11"/>
        <v>0</v>
      </c>
      <c r="AC19" s="294" t="str">
        <f t="shared" si="3"/>
        <v>-</v>
      </c>
      <c r="AD19" s="521"/>
      <c r="AE19" s="522"/>
    </row>
    <row r="20" spans="1:31" x14ac:dyDescent="0.3">
      <c r="A20" s="1394" t="s">
        <v>67</v>
      </c>
      <c r="B20" s="882">
        <v>0</v>
      </c>
      <c r="C20" s="1395">
        <v>0</v>
      </c>
      <c r="D20" s="706">
        <f t="shared" si="4"/>
        <v>0</v>
      </c>
      <c r="E20" s="881" t="str">
        <f t="shared" si="5"/>
        <v>-</v>
      </c>
      <c r="F20" s="1396"/>
      <c r="G20" s="882">
        <v>0</v>
      </c>
      <c r="H20" s="1397">
        <v>0</v>
      </c>
      <c r="I20" s="706">
        <f t="shared" si="6"/>
        <v>0</v>
      </c>
      <c r="J20" s="1398" t="str">
        <f t="shared" si="0"/>
        <v>-</v>
      </c>
      <c r="K20" s="1396"/>
      <c r="L20" s="1399">
        <v>0</v>
      </c>
      <c r="M20" s="1400">
        <v>0</v>
      </c>
      <c r="N20" s="706">
        <f t="shared" si="7"/>
        <v>0</v>
      </c>
      <c r="O20" s="1401" t="str">
        <f t="shared" si="1"/>
        <v>-</v>
      </c>
      <c r="P20" s="934"/>
      <c r="Q20" s="1399">
        <v>0</v>
      </c>
      <c r="R20" s="1400">
        <v>0</v>
      </c>
      <c r="S20" s="706">
        <f>R20-Q20</f>
        <v>0</v>
      </c>
      <c r="T20" s="1401" t="str">
        <f>IF(ISERROR(S20/Q20),"-",S20/Q20)</f>
        <v>-</v>
      </c>
      <c r="U20" s="184"/>
      <c r="V20" s="485">
        <v>0</v>
      </c>
      <c r="W20" s="706">
        <v>0</v>
      </c>
      <c r="X20" s="706">
        <f t="shared" si="10"/>
        <v>0</v>
      </c>
      <c r="Y20" s="1401" t="str">
        <f t="shared" si="2"/>
        <v>-</v>
      </c>
      <c r="Z20" s="184"/>
      <c r="AA20" s="485">
        <v>0</v>
      </c>
      <c r="AB20" s="706">
        <f t="shared" si="11"/>
        <v>0</v>
      </c>
      <c r="AC20" s="1401" t="str">
        <f t="shared" si="3"/>
        <v>-</v>
      </c>
      <c r="AD20" s="521"/>
      <c r="AE20" s="1402"/>
    </row>
    <row r="21" spans="1:31" x14ac:dyDescent="0.3">
      <c r="A21" s="1403" t="s">
        <v>112</v>
      </c>
      <c r="B21" s="882">
        <v>1109794.5</v>
      </c>
      <c r="C21" s="1395">
        <v>739863</v>
      </c>
      <c r="D21" s="706">
        <f t="shared" si="4"/>
        <v>-369931.5</v>
      </c>
      <c r="E21" s="881">
        <f t="shared" si="5"/>
        <v>-0.33333333333333331</v>
      </c>
      <c r="F21" s="1396"/>
      <c r="G21" s="882">
        <v>1109794.5</v>
      </c>
      <c r="H21" s="1397">
        <v>1479728.19</v>
      </c>
      <c r="I21" s="706">
        <f t="shared" si="6"/>
        <v>369933.68999999994</v>
      </c>
      <c r="J21" s="1398">
        <f t="shared" si="0"/>
        <v>0.33333530667164052</v>
      </c>
      <c r="K21" s="1396"/>
      <c r="L21" s="1399">
        <v>1109794.5</v>
      </c>
      <c r="M21" s="1400">
        <v>1109794.5</v>
      </c>
      <c r="N21" s="706">
        <f t="shared" si="7"/>
        <v>0</v>
      </c>
      <c r="O21" s="1401">
        <f t="shared" si="1"/>
        <v>0</v>
      </c>
      <c r="P21" s="934"/>
      <c r="Q21" s="1399">
        <v>1109794.5</v>
      </c>
      <c r="R21" s="1400">
        <v>1215769.1599999999</v>
      </c>
      <c r="S21" s="706">
        <f>R21-Q21</f>
        <v>105974.65999999992</v>
      </c>
      <c r="T21" s="1401">
        <f>IF(ISERROR(S21/Q21),"-",S21/Q21)</f>
        <v>9.5490345284644965E-2</v>
      </c>
      <c r="U21" s="184"/>
      <c r="V21" s="485">
        <v>4439178</v>
      </c>
      <c r="W21" s="706">
        <v>4545154.8499999996</v>
      </c>
      <c r="X21" s="706">
        <f t="shared" si="10"/>
        <v>105976.84999999963</v>
      </c>
      <c r="Y21" s="1398">
        <f>IF(ISERROR(X21/V21),"-",X21/V21)</f>
        <v>2.3873079655737983E-2</v>
      </c>
      <c r="Z21" s="184"/>
      <c r="AA21" s="485">
        <v>4439178</v>
      </c>
      <c r="AB21" s="706">
        <f t="shared" si="11"/>
        <v>-105976.84999999963</v>
      </c>
      <c r="AC21" s="1401">
        <f t="shared" si="3"/>
        <v>-2.3873079655737983E-2</v>
      </c>
      <c r="AD21" s="521"/>
      <c r="AE21" s="1402"/>
    </row>
    <row r="22" spans="1:31" x14ac:dyDescent="0.3">
      <c r="A22" s="523" t="s">
        <v>70</v>
      </c>
      <c r="B22" s="637">
        <v>0</v>
      </c>
      <c r="C22" s="638">
        <v>0</v>
      </c>
      <c r="D22" s="451">
        <f t="shared" si="4"/>
        <v>0</v>
      </c>
      <c r="E22" s="222" t="str">
        <f t="shared" si="5"/>
        <v>-</v>
      </c>
      <c r="F22" s="934"/>
      <c r="G22" s="637">
        <v>0</v>
      </c>
      <c r="H22" s="653">
        <v>0</v>
      </c>
      <c r="I22" s="451">
        <f t="shared" si="6"/>
        <v>0</v>
      </c>
      <c r="J22" s="220" t="str">
        <f t="shared" si="0"/>
        <v>-</v>
      </c>
      <c r="K22" s="934"/>
      <c r="L22" s="635">
        <v>0</v>
      </c>
      <c r="M22" s="652">
        <v>0</v>
      </c>
      <c r="N22" s="451">
        <f t="shared" si="7"/>
        <v>0</v>
      </c>
      <c r="O22" s="294" t="str">
        <f t="shared" si="1"/>
        <v>-</v>
      </c>
      <c r="P22" s="934"/>
      <c r="Q22" s="635">
        <v>0</v>
      </c>
      <c r="R22" s="652">
        <v>0</v>
      </c>
      <c r="S22" s="451">
        <f t="shared" si="8"/>
        <v>0</v>
      </c>
      <c r="T22" s="294" t="str">
        <f t="shared" si="9"/>
        <v>-</v>
      </c>
      <c r="U22" s="184"/>
      <c r="V22" s="450">
        <v>0</v>
      </c>
      <c r="W22" s="451">
        <v>0</v>
      </c>
      <c r="X22" s="451">
        <f t="shared" si="10"/>
        <v>0</v>
      </c>
      <c r="Y22" s="294" t="str">
        <f t="shared" si="2"/>
        <v>-</v>
      </c>
      <c r="Z22" s="184"/>
      <c r="AA22" s="450">
        <v>0</v>
      </c>
      <c r="AB22" s="451">
        <f t="shared" si="11"/>
        <v>0</v>
      </c>
      <c r="AC22" s="294" t="str">
        <f t="shared" si="3"/>
        <v>-</v>
      </c>
      <c r="AD22" s="521"/>
      <c r="AE22" s="522"/>
    </row>
    <row r="23" spans="1:31" x14ac:dyDescent="0.3">
      <c r="A23" s="523" t="s">
        <v>72</v>
      </c>
      <c r="B23" s="637">
        <v>0</v>
      </c>
      <c r="C23" s="638">
        <v>0</v>
      </c>
      <c r="D23" s="451">
        <f t="shared" si="4"/>
        <v>0</v>
      </c>
      <c r="E23" s="222" t="str">
        <f t="shared" si="5"/>
        <v>-</v>
      </c>
      <c r="F23" s="934"/>
      <c r="G23" s="637">
        <v>0</v>
      </c>
      <c r="H23" s="653">
        <v>0</v>
      </c>
      <c r="I23" s="451">
        <f t="shared" si="6"/>
        <v>0</v>
      </c>
      <c r="J23" s="220" t="str">
        <f t="shared" si="0"/>
        <v>-</v>
      </c>
      <c r="K23" s="934"/>
      <c r="L23" s="635">
        <v>0</v>
      </c>
      <c r="M23" s="652">
        <v>0</v>
      </c>
      <c r="N23" s="451">
        <f t="shared" si="7"/>
        <v>0</v>
      </c>
      <c r="O23" s="220" t="str">
        <f t="shared" si="1"/>
        <v>-</v>
      </c>
      <c r="P23" s="934"/>
      <c r="Q23" s="635">
        <v>0</v>
      </c>
      <c r="R23" s="652">
        <v>0</v>
      </c>
      <c r="S23" s="451">
        <f t="shared" si="8"/>
        <v>0</v>
      </c>
      <c r="T23" s="220" t="str">
        <f t="shared" si="9"/>
        <v>-</v>
      </c>
      <c r="U23" s="184"/>
      <c r="V23" s="450">
        <v>0</v>
      </c>
      <c r="W23" s="451">
        <v>0</v>
      </c>
      <c r="X23" s="451">
        <f t="shared" si="10"/>
        <v>0</v>
      </c>
      <c r="Y23" s="220" t="str">
        <f t="shared" si="2"/>
        <v>-</v>
      </c>
      <c r="Z23" s="184"/>
      <c r="AA23" s="450">
        <v>0</v>
      </c>
      <c r="AB23" s="451">
        <f t="shared" si="11"/>
        <v>0</v>
      </c>
      <c r="AC23" s="220" t="str">
        <f t="shared" si="3"/>
        <v>-</v>
      </c>
      <c r="AD23" s="521"/>
      <c r="AE23" s="525"/>
    </row>
    <row r="24" spans="1:31" x14ac:dyDescent="0.3">
      <c r="A24" s="523" t="s">
        <v>131</v>
      </c>
      <c r="B24" s="637">
        <v>0</v>
      </c>
      <c r="C24" s="639">
        <v>0</v>
      </c>
      <c r="D24" s="451">
        <f t="shared" si="4"/>
        <v>0</v>
      </c>
      <c r="E24" s="222" t="str">
        <f t="shared" si="5"/>
        <v>-</v>
      </c>
      <c r="F24" s="934"/>
      <c r="G24" s="637">
        <v>0</v>
      </c>
      <c r="H24" s="654">
        <v>0</v>
      </c>
      <c r="I24" s="451">
        <f t="shared" si="6"/>
        <v>0</v>
      </c>
      <c r="J24" s="220" t="str">
        <f t="shared" si="0"/>
        <v>-</v>
      </c>
      <c r="K24" s="934"/>
      <c r="L24" s="635">
        <v>0</v>
      </c>
      <c r="M24" s="652">
        <v>0</v>
      </c>
      <c r="N24" s="451">
        <f t="shared" si="7"/>
        <v>0</v>
      </c>
      <c r="O24" s="294" t="str">
        <f t="shared" si="1"/>
        <v>-</v>
      </c>
      <c r="P24" s="934"/>
      <c r="Q24" s="635">
        <v>0</v>
      </c>
      <c r="R24" s="652">
        <v>0</v>
      </c>
      <c r="S24" s="451">
        <f t="shared" si="8"/>
        <v>0</v>
      </c>
      <c r="T24" s="294" t="str">
        <f t="shared" si="9"/>
        <v>-</v>
      </c>
      <c r="U24" s="184"/>
      <c r="V24" s="450">
        <v>0</v>
      </c>
      <c r="W24" s="451">
        <v>0</v>
      </c>
      <c r="X24" s="451">
        <f t="shared" si="10"/>
        <v>0</v>
      </c>
      <c r="Y24" s="294" t="str">
        <f t="shared" si="2"/>
        <v>-</v>
      </c>
      <c r="Z24" s="184"/>
      <c r="AA24" s="450">
        <v>0</v>
      </c>
      <c r="AB24" s="451">
        <f t="shared" si="11"/>
        <v>0</v>
      </c>
      <c r="AC24" s="294" t="str">
        <f t="shared" si="3"/>
        <v>-</v>
      </c>
      <c r="AD24" s="521"/>
      <c r="AE24" s="522"/>
    </row>
    <row r="25" spans="1:31" x14ac:dyDescent="0.3">
      <c r="A25" s="526" t="s">
        <v>73</v>
      </c>
      <c r="B25" s="640">
        <f>SUM(B14:B24)</f>
        <v>1313758.1400000001</v>
      </c>
      <c r="C25" s="470">
        <f>SUM(C14:C24)</f>
        <v>950466.44</v>
      </c>
      <c r="D25" s="470">
        <f>SUM(D14:D24)</f>
        <v>-363291.70000000007</v>
      </c>
      <c r="E25" s="237">
        <f t="shared" ref="E25" si="13">IF(ISERROR(D25/B25),"-",D25/B25)</f>
        <v>-0.27652860061441753</v>
      </c>
      <c r="F25" s="936"/>
      <c r="G25" s="640">
        <f>SUM(G14:G24)</f>
        <v>1256096.55</v>
      </c>
      <c r="H25" s="470">
        <f>SUM(H14:H24)</f>
        <v>1573201.76</v>
      </c>
      <c r="I25" s="470">
        <f>SUM(I14:I24)</f>
        <v>317105.2099999999</v>
      </c>
      <c r="J25" s="237">
        <f t="shared" si="0"/>
        <v>0.25245289464412579</v>
      </c>
      <c r="K25" s="936"/>
      <c r="L25" s="640">
        <f>SUM(L14:L24)</f>
        <v>1429781.54</v>
      </c>
      <c r="M25" s="470">
        <f>SUM(M14:M24)</f>
        <v>1414126.23</v>
      </c>
      <c r="N25" s="470">
        <f>SUM(N14:N24)</f>
        <v>-15655.309999999881</v>
      </c>
      <c r="O25" s="237">
        <f t="shared" si="1"/>
        <v>-1.0949441968596043E-2</v>
      </c>
      <c r="P25" s="936"/>
      <c r="Q25" s="640">
        <f>SUM(Q14:Q24)</f>
        <v>1114795.5</v>
      </c>
      <c r="R25" s="470">
        <f>SUM(R14:R24)</f>
        <v>1266552.8399999999</v>
      </c>
      <c r="S25" s="470">
        <f>SUM(S14:S24)</f>
        <v>151757.33999999991</v>
      </c>
      <c r="T25" s="527">
        <f t="shared" si="9"/>
        <v>0.13613020504657572</v>
      </c>
      <c r="U25" s="203"/>
      <c r="V25" s="469">
        <f>SUM(V14:V24)</f>
        <v>5114431.7300000004</v>
      </c>
      <c r="W25" s="470">
        <f>SUM(W14:W24)</f>
        <v>5204347.2699999996</v>
      </c>
      <c r="X25" s="470">
        <f>SUM(X14:X24)</f>
        <v>89915.539999999688</v>
      </c>
      <c r="Y25" s="527">
        <f t="shared" si="2"/>
        <v>1.7580748897786085E-2</v>
      </c>
      <c r="Z25" s="203"/>
      <c r="AA25" s="471">
        <f>SUM(AA14:AA24)</f>
        <v>5111929.7300000004</v>
      </c>
      <c r="AB25" s="472">
        <f>SUM(AB14:AB24)</f>
        <v>-92417.539999999688</v>
      </c>
      <c r="AC25" s="528">
        <f t="shared" si="3"/>
        <v>-1.8078797026030262E-2</v>
      </c>
      <c r="AD25" s="529"/>
      <c r="AE25" s="530"/>
    </row>
    <row r="26" spans="1:31" x14ac:dyDescent="0.3">
      <c r="A26" s="531"/>
      <c r="B26" s="641"/>
      <c r="C26" s="460"/>
      <c r="D26" s="460"/>
      <c r="E26" s="532"/>
      <c r="F26" s="934"/>
      <c r="G26" s="940"/>
      <c r="H26" s="462"/>
      <c r="I26" s="462"/>
      <c r="J26" s="216"/>
      <c r="K26" s="934"/>
      <c r="L26" s="641"/>
      <c r="M26" s="460"/>
      <c r="N26" s="460"/>
      <c r="O26" s="532"/>
      <c r="P26" s="934"/>
      <c r="Q26" s="940"/>
      <c r="R26" s="462"/>
      <c r="S26" s="462"/>
      <c r="T26" s="533" t="str">
        <f t="shared" si="9"/>
        <v>-</v>
      </c>
      <c r="U26" s="184"/>
      <c r="V26" s="459"/>
      <c r="W26" s="460"/>
      <c r="X26" s="460"/>
      <c r="Y26" s="532"/>
      <c r="Z26" s="184"/>
      <c r="AA26" s="459"/>
      <c r="AB26" s="460"/>
      <c r="AC26" s="532"/>
      <c r="AD26" s="521"/>
      <c r="AE26" s="522"/>
    </row>
    <row r="27" spans="1:31" x14ac:dyDescent="0.3">
      <c r="A27" s="534" t="s">
        <v>74</v>
      </c>
      <c r="B27" s="642"/>
      <c r="C27" s="451"/>
      <c r="D27" s="451">
        <f>C27-B27</f>
        <v>0</v>
      </c>
      <c r="E27" s="294" t="str">
        <f>IF(ISERROR(D27/B27),"-",D27/B27)</f>
        <v>-</v>
      </c>
      <c r="F27" s="934"/>
      <c r="G27" s="681">
        <v>0</v>
      </c>
      <c r="H27" s="464">
        <v>0</v>
      </c>
      <c r="I27" s="451">
        <f>H27-G27</f>
        <v>0</v>
      </c>
      <c r="J27" s="295" t="str">
        <f>IF(ISERROR(I27/G27),"-",I27/G27)</f>
        <v>-</v>
      </c>
      <c r="K27" s="934"/>
      <c r="L27" s="642">
        <v>0</v>
      </c>
      <c r="M27" s="451">
        <v>0</v>
      </c>
      <c r="N27" s="451">
        <f>M27-L27</f>
        <v>0</v>
      </c>
      <c r="O27" s="294" t="str">
        <f>IF(ISERROR(N27/L27),"-",N27/L27)</f>
        <v>-</v>
      </c>
      <c r="P27" s="934"/>
      <c r="Q27" s="681">
        <v>0</v>
      </c>
      <c r="R27" s="464">
        <v>0</v>
      </c>
      <c r="S27" s="451">
        <f>R27-Q27</f>
        <v>0</v>
      </c>
      <c r="T27" s="295" t="str">
        <f t="shared" si="9"/>
        <v>-</v>
      </c>
      <c r="U27" s="184"/>
      <c r="V27" s="450">
        <f>B27+G27+L27+Q27</f>
        <v>0</v>
      </c>
      <c r="W27" s="451">
        <f>C27+H27+M27+R27</f>
        <v>0</v>
      </c>
      <c r="X27" s="451">
        <f>W27-V27</f>
        <v>0</v>
      </c>
      <c r="Y27" s="535"/>
      <c r="Z27" s="184"/>
      <c r="AA27" s="450">
        <v>0</v>
      </c>
      <c r="AB27" s="451"/>
      <c r="AC27" s="535"/>
      <c r="AD27" s="521"/>
      <c r="AE27" s="522"/>
    </row>
    <row r="28" spans="1:31" x14ac:dyDescent="0.3">
      <c r="A28" s="536"/>
      <c r="B28" s="643"/>
      <c r="C28" s="466"/>
      <c r="D28" s="466"/>
      <c r="E28" s="537"/>
      <c r="F28" s="933"/>
      <c r="G28" s="941"/>
      <c r="H28" s="468"/>
      <c r="I28" s="468"/>
      <c r="J28" s="232"/>
      <c r="K28" s="933"/>
      <c r="L28" s="643"/>
      <c r="M28" s="466"/>
      <c r="N28" s="466"/>
      <c r="O28" s="537"/>
      <c r="P28" s="933"/>
      <c r="Q28" s="941"/>
      <c r="R28" s="468"/>
      <c r="S28" s="468"/>
      <c r="T28" s="538" t="str">
        <f t="shared" si="9"/>
        <v>-</v>
      </c>
      <c r="U28" s="175"/>
      <c r="V28" s="465"/>
      <c r="W28" s="466"/>
      <c r="X28" s="466"/>
      <c r="Y28" s="537"/>
      <c r="Z28" s="175"/>
      <c r="AA28" s="465"/>
      <c r="AB28" s="466"/>
      <c r="AC28" s="537"/>
      <c r="AD28" s="518"/>
      <c r="AE28" s="522"/>
    </row>
    <row r="29" spans="1:31" x14ac:dyDescent="0.3">
      <c r="A29" s="526" t="s">
        <v>75</v>
      </c>
      <c r="B29" s="640">
        <f>B25+B27</f>
        <v>1313758.1400000001</v>
      </c>
      <c r="C29" s="470">
        <f>C25+C27</f>
        <v>950466.44</v>
      </c>
      <c r="D29" s="470">
        <f>D25+D27</f>
        <v>-363291.70000000007</v>
      </c>
      <c r="E29" s="237">
        <f>IF(ISERROR(D29/B29),"-",D29/B29)</f>
        <v>-0.27652860061441753</v>
      </c>
      <c r="F29" s="936"/>
      <c r="G29" s="640">
        <f>G25+G27</f>
        <v>1256096.55</v>
      </c>
      <c r="H29" s="470">
        <f>H25+H27</f>
        <v>1573201.76</v>
      </c>
      <c r="I29" s="470">
        <f>I25+I27</f>
        <v>317105.2099999999</v>
      </c>
      <c r="J29" s="237">
        <f>IF(ISERROR(I29/G29),"-",I29/G29)</f>
        <v>0.25245289464412579</v>
      </c>
      <c r="K29" s="936"/>
      <c r="L29" s="640">
        <f>L25+L27</f>
        <v>1429781.54</v>
      </c>
      <c r="M29" s="470">
        <f>M25+M27</f>
        <v>1414126.23</v>
      </c>
      <c r="N29" s="470">
        <f>N25+N27</f>
        <v>-15655.309999999881</v>
      </c>
      <c r="O29" s="237">
        <f>IF(ISERROR(N29/L29),"-",N29/L29)</f>
        <v>-1.0949441968596043E-2</v>
      </c>
      <c r="P29" s="936"/>
      <c r="Q29" s="640">
        <f>Q25+Q27</f>
        <v>1114795.5</v>
      </c>
      <c r="R29" s="470">
        <f>R25+R27</f>
        <v>1266552.8399999999</v>
      </c>
      <c r="S29" s="470">
        <f>S25+S27</f>
        <v>151757.33999999991</v>
      </c>
      <c r="T29" s="237">
        <f t="shared" si="9"/>
        <v>0.13613020504657572</v>
      </c>
      <c r="U29" s="203"/>
      <c r="V29" s="469">
        <f>V25+V27</f>
        <v>5114431.7300000004</v>
      </c>
      <c r="W29" s="470">
        <f>W25+W27</f>
        <v>5204347.2699999996</v>
      </c>
      <c r="X29" s="470">
        <f>X25+X27</f>
        <v>89915.539999999688</v>
      </c>
      <c r="Y29" s="237">
        <f>IF(ISERROR(X29/V29),"-",X29/V29)</f>
        <v>1.7580748897786085E-2</v>
      </c>
      <c r="Z29" s="203"/>
      <c r="AA29" s="471">
        <f>AA25+AA27</f>
        <v>5111929.7300000004</v>
      </c>
      <c r="AB29" s="472">
        <f>AA29-W29</f>
        <v>-92417.539999999106</v>
      </c>
      <c r="AC29" s="528">
        <f>IF(ISERROR(AB29/AA29),"-",AB29/AA29)</f>
        <v>-1.8078797026030147E-2</v>
      </c>
      <c r="AD29" s="529"/>
      <c r="AE29" s="530"/>
    </row>
    <row r="30" spans="1:31" x14ac:dyDescent="0.3">
      <c r="A30" s="539"/>
      <c r="B30" s="644"/>
      <c r="C30" s="474"/>
      <c r="D30" s="474"/>
      <c r="E30" s="517"/>
      <c r="F30" s="933"/>
      <c r="G30" s="942"/>
      <c r="H30" s="476"/>
      <c r="I30" s="476"/>
      <c r="J30" s="540"/>
      <c r="K30" s="933"/>
      <c r="L30" s="644"/>
      <c r="M30" s="474"/>
      <c r="N30" s="474"/>
      <c r="O30" s="517"/>
      <c r="P30" s="933"/>
      <c r="Q30" s="942"/>
      <c r="R30" s="476"/>
      <c r="S30" s="476"/>
      <c r="T30" s="540"/>
      <c r="U30" s="175"/>
      <c r="V30" s="459"/>
      <c r="W30" s="460"/>
      <c r="X30" s="474"/>
      <c r="Y30" s="517"/>
      <c r="Z30" s="175"/>
      <c r="AA30" s="459"/>
      <c r="AB30" s="474"/>
      <c r="AC30" s="517"/>
      <c r="AD30" s="518"/>
      <c r="AE30" s="522"/>
    </row>
    <row r="31" spans="1:31" x14ac:dyDescent="0.3">
      <c r="A31" s="534" t="s">
        <v>76</v>
      </c>
      <c r="B31" s="642"/>
      <c r="C31" s="451"/>
      <c r="D31" s="451"/>
      <c r="E31" s="535"/>
      <c r="F31" s="934"/>
      <c r="G31" s="681"/>
      <c r="H31" s="464"/>
      <c r="I31" s="464"/>
      <c r="J31" s="541"/>
      <c r="K31" s="934"/>
      <c r="L31" s="642"/>
      <c r="M31" s="451"/>
      <c r="N31" s="451"/>
      <c r="O31" s="535"/>
      <c r="P31" s="934"/>
      <c r="Q31" s="681"/>
      <c r="R31" s="464"/>
      <c r="S31" s="464"/>
      <c r="T31" s="541"/>
      <c r="U31" s="184"/>
      <c r="V31" s="450"/>
      <c r="W31" s="451"/>
      <c r="X31" s="451"/>
      <c r="Y31" s="535"/>
      <c r="Z31" s="184"/>
      <c r="AA31" s="450"/>
      <c r="AB31" s="451"/>
      <c r="AC31" s="535"/>
      <c r="AD31" s="521"/>
      <c r="AE31" s="522"/>
    </row>
    <row r="32" spans="1:31" x14ac:dyDescent="0.3">
      <c r="A32" s="534" t="s">
        <v>77</v>
      </c>
      <c r="B32" s="642"/>
      <c r="C32" s="451"/>
      <c r="D32" s="451"/>
      <c r="E32" s="535"/>
      <c r="F32" s="934"/>
      <c r="G32" s="681"/>
      <c r="H32" s="464"/>
      <c r="I32" s="464"/>
      <c r="J32" s="541"/>
      <c r="K32" s="934"/>
      <c r="L32" s="642"/>
      <c r="M32" s="451"/>
      <c r="N32" s="451"/>
      <c r="O32" s="535"/>
      <c r="P32" s="934"/>
      <c r="Q32" s="681"/>
      <c r="R32" s="464"/>
      <c r="S32" s="464"/>
      <c r="T32" s="541"/>
      <c r="U32" s="184"/>
      <c r="V32" s="450"/>
      <c r="W32" s="451"/>
      <c r="X32" s="451"/>
      <c r="Y32" s="535"/>
      <c r="Z32" s="184"/>
      <c r="AA32" s="450"/>
      <c r="AB32" s="451"/>
      <c r="AC32" s="535"/>
      <c r="AD32" s="521"/>
      <c r="AE32" s="522"/>
    </row>
    <row r="33" spans="1:31" x14ac:dyDescent="0.3">
      <c r="A33" s="523" t="s">
        <v>78</v>
      </c>
      <c r="B33" s="645">
        <v>550711.98</v>
      </c>
      <c r="C33" s="645">
        <v>383938.18000000005</v>
      </c>
      <c r="D33" s="451">
        <f t="shared" ref="D33:D40" si="14">C33-B33</f>
        <v>-166773.79999999993</v>
      </c>
      <c r="E33" s="220">
        <f t="shared" ref="E33:E41" si="15">IF(ISERROR(D33/B33),"-",D33/B33)</f>
        <v>-0.3028330707459822</v>
      </c>
      <c r="F33" s="935"/>
      <c r="G33" s="642">
        <v>550711.98</v>
      </c>
      <c r="H33" s="642">
        <v>397231.64999999991</v>
      </c>
      <c r="I33" s="451">
        <f t="shared" ref="I33:I40" si="16">H33-G33</f>
        <v>-153480.33000000007</v>
      </c>
      <c r="J33" s="221">
        <f t="shared" ref="J33:J41" si="17">IF(ISERROR(I33/G33),"-",I33/G33)</f>
        <v>-0.27869437305504063</v>
      </c>
      <c r="K33" s="935"/>
      <c r="L33" s="642">
        <v>550711.98</v>
      </c>
      <c r="M33" s="642">
        <v>425761.20999999996</v>
      </c>
      <c r="N33" s="451">
        <f t="shared" ref="N33:N40" si="18">M33-L33</f>
        <v>-124950.77000000002</v>
      </c>
      <c r="O33" s="220">
        <f t="shared" ref="O33:O41" si="19">IF(ISERROR(N33/L33),"-",N33/L33)</f>
        <v>-0.22688950765153143</v>
      </c>
      <c r="P33" s="935"/>
      <c r="Q33" s="642">
        <v>550711.98</v>
      </c>
      <c r="R33" s="642">
        <v>607966.31999999995</v>
      </c>
      <c r="S33" s="451">
        <f t="shared" ref="S33:S40" si="20">R33-Q33</f>
        <v>57254.339999999967</v>
      </c>
      <c r="T33" s="221">
        <f t="shared" ref="T33:T41" si="21">IF(ISERROR(S33/Q33),"-",S33/Q33)</f>
        <v>0.10396421737547813</v>
      </c>
      <c r="U33" s="191"/>
      <c r="V33" s="450">
        <f t="shared" ref="V33:V40" si="22">B33+G33+L33+Q33</f>
        <v>2202847.92</v>
      </c>
      <c r="W33" s="451">
        <f>C33+H33+M33+R33</f>
        <v>1814897.3599999999</v>
      </c>
      <c r="X33" s="451">
        <f t="shared" ref="X33:X40" si="23">W33-V33</f>
        <v>-387950.56000000006</v>
      </c>
      <c r="Y33" s="220">
        <f t="shared" ref="Y33:Y41" si="24">IF(ISERROR(X33/V33),"-",X33/V33)</f>
        <v>-0.17611318351926902</v>
      </c>
      <c r="Z33" s="191"/>
      <c r="AA33" s="450">
        <v>2202848</v>
      </c>
      <c r="AB33" s="451">
        <f t="shared" ref="AB33:AB40" si="25">AA33-W33</f>
        <v>387950.64000000013</v>
      </c>
      <c r="AC33" s="220">
        <f t="shared" ref="AC33:AC41" si="26">IF(ISERROR(AB33/AA33),"-",AB33/AA33)</f>
        <v>0.17611321344005584</v>
      </c>
      <c r="AD33" s="524"/>
      <c r="AE33" s="846"/>
    </row>
    <row r="34" spans="1:31" x14ac:dyDescent="0.3">
      <c r="A34" s="523" t="s">
        <v>79</v>
      </c>
      <c r="B34" s="645">
        <v>0</v>
      </c>
      <c r="C34" s="645">
        <v>1</v>
      </c>
      <c r="D34" s="451">
        <f t="shared" si="14"/>
        <v>1</v>
      </c>
      <c r="E34" s="220" t="str">
        <f t="shared" si="15"/>
        <v>-</v>
      </c>
      <c r="F34" s="935"/>
      <c r="G34" s="642">
        <v>0</v>
      </c>
      <c r="H34" s="642">
        <v>1</v>
      </c>
      <c r="I34" s="451">
        <f t="shared" si="16"/>
        <v>1</v>
      </c>
      <c r="J34" s="221" t="str">
        <f t="shared" si="17"/>
        <v>-</v>
      </c>
      <c r="K34" s="935"/>
      <c r="L34" s="642">
        <v>0</v>
      </c>
      <c r="M34" s="642">
        <v>1</v>
      </c>
      <c r="N34" s="451">
        <f t="shared" si="18"/>
        <v>1</v>
      </c>
      <c r="O34" s="220" t="str">
        <f t="shared" si="19"/>
        <v>-</v>
      </c>
      <c r="P34" s="935"/>
      <c r="Q34" s="642">
        <v>0</v>
      </c>
      <c r="R34" s="642">
        <v>1</v>
      </c>
      <c r="S34" s="451">
        <f t="shared" si="20"/>
        <v>1</v>
      </c>
      <c r="T34" s="221" t="str">
        <f t="shared" si="21"/>
        <v>-</v>
      </c>
      <c r="U34" s="191"/>
      <c r="V34" s="450">
        <f t="shared" si="22"/>
        <v>0</v>
      </c>
      <c r="W34" s="451">
        <f t="shared" ref="W34:W40" si="27">C34+H34+M34+R34</f>
        <v>4</v>
      </c>
      <c r="X34" s="451">
        <f t="shared" si="23"/>
        <v>4</v>
      </c>
      <c r="Y34" s="220" t="str">
        <f t="shared" si="24"/>
        <v>-</v>
      </c>
      <c r="Z34" s="191"/>
      <c r="AA34" s="450">
        <v>0</v>
      </c>
      <c r="AB34" s="451">
        <f t="shared" si="25"/>
        <v>-4</v>
      </c>
      <c r="AC34" s="220" t="str">
        <f t="shared" si="26"/>
        <v>-</v>
      </c>
      <c r="AD34" s="524"/>
      <c r="AE34" s="846"/>
    </row>
    <row r="35" spans="1:31" x14ac:dyDescent="0.3">
      <c r="A35" s="523" t="s">
        <v>81</v>
      </c>
      <c r="B35" s="645">
        <v>18242.580000000002</v>
      </c>
      <c r="C35" s="645">
        <v>11981.91</v>
      </c>
      <c r="D35" s="451">
        <f t="shared" si="14"/>
        <v>-6260.6700000000019</v>
      </c>
      <c r="E35" s="220">
        <f t="shared" si="15"/>
        <v>-0.34318994352772475</v>
      </c>
      <c r="F35" s="935"/>
      <c r="G35" s="642">
        <v>57251.58</v>
      </c>
      <c r="H35" s="642">
        <v>13122.11</v>
      </c>
      <c r="I35" s="451">
        <f t="shared" si="16"/>
        <v>-44129.47</v>
      </c>
      <c r="J35" s="221">
        <f t="shared" si="17"/>
        <v>-0.77079916397067116</v>
      </c>
      <c r="K35" s="935"/>
      <c r="L35" s="642">
        <v>18260.580000000002</v>
      </c>
      <c r="M35" s="642">
        <v>14835.6</v>
      </c>
      <c r="N35" s="451">
        <f t="shared" si="18"/>
        <v>-3424.9800000000014</v>
      </c>
      <c r="O35" s="220">
        <f t="shared" si="19"/>
        <v>-0.18756140275938668</v>
      </c>
      <c r="P35" s="935"/>
      <c r="Q35" s="642">
        <v>18269.580000000009</v>
      </c>
      <c r="R35" s="642">
        <v>52080.71</v>
      </c>
      <c r="S35" s="451">
        <f t="shared" si="20"/>
        <v>33811.12999999999</v>
      </c>
      <c r="T35" s="221">
        <f t="shared" si="21"/>
        <v>1.8506791070183317</v>
      </c>
      <c r="U35" s="191"/>
      <c r="V35" s="450">
        <f t="shared" si="22"/>
        <v>112024.32000000001</v>
      </c>
      <c r="W35" s="451">
        <f t="shared" si="27"/>
        <v>92020.33</v>
      </c>
      <c r="X35" s="451">
        <f t="shared" si="23"/>
        <v>-20003.990000000005</v>
      </c>
      <c r="Y35" s="220">
        <f t="shared" si="24"/>
        <v>-0.1785682787451868</v>
      </c>
      <c r="Z35" s="191"/>
      <c r="AA35" s="450">
        <v>112024</v>
      </c>
      <c r="AB35" s="451">
        <f t="shared" si="25"/>
        <v>20003.669999999998</v>
      </c>
      <c r="AC35" s="220">
        <f t="shared" si="26"/>
        <v>0.17856593230022136</v>
      </c>
      <c r="AD35" s="524"/>
      <c r="AE35" s="845"/>
    </row>
    <row r="36" spans="1:31" x14ac:dyDescent="0.3">
      <c r="A36" s="523" t="s">
        <v>106</v>
      </c>
      <c r="B36" s="645">
        <v>17050.169999999998</v>
      </c>
      <c r="C36" s="645">
        <v>13356.220000000001</v>
      </c>
      <c r="D36" s="451">
        <f t="shared" si="14"/>
        <v>-3693.9499999999971</v>
      </c>
      <c r="E36" s="220">
        <f t="shared" si="15"/>
        <v>-0.21665179877971877</v>
      </c>
      <c r="F36" s="937"/>
      <c r="G36" s="642">
        <v>17050.169999999998</v>
      </c>
      <c r="H36" s="642">
        <v>13134.990000000002</v>
      </c>
      <c r="I36" s="451">
        <f t="shared" si="16"/>
        <v>-3915.1799999999967</v>
      </c>
      <c r="J36" s="221">
        <f t="shared" si="17"/>
        <v>-0.2296270359767672</v>
      </c>
      <c r="K36" s="937"/>
      <c r="L36" s="642">
        <v>17050.169999999998</v>
      </c>
      <c r="M36" s="642">
        <v>14627.83</v>
      </c>
      <c r="N36" s="451">
        <f t="shared" si="18"/>
        <v>-2422.3399999999983</v>
      </c>
      <c r="O36" s="222">
        <f t="shared" si="19"/>
        <v>-0.14207131072593401</v>
      </c>
      <c r="P36" s="937"/>
      <c r="Q36" s="642">
        <v>17050.170000000002</v>
      </c>
      <c r="R36" s="642">
        <v>17877.359999999997</v>
      </c>
      <c r="S36" s="451">
        <f t="shared" si="20"/>
        <v>827.18999999999505</v>
      </c>
      <c r="T36" s="221">
        <f t="shared" si="21"/>
        <v>4.8515058794134897E-2</v>
      </c>
      <c r="U36" s="256"/>
      <c r="V36" s="450">
        <f t="shared" si="22"/>
        <v>68200.679999999993</v>
      </c>
      <c r="W36" s="451">
        <f t="shared" si="27"/>
        <v>58996.399999999994</v>
      </c>
      <c r="X36" s="451">
        <f t="shared" si="23"/>
        <v>-9204.2799999999988</v>
      </c>
      <c r="Y36" s="294">
        <f t="shared" si="24"/>
        <v>-0.13495877167207129</v>
      </c>
      <c r="Z36" s="256"/>
      <c r="AA36" s="450">
        <v>68201</v>
      </c>
      <c r="AB36" s="451">
        <f t="shared" si="25"/>
        <v>9204.6000000000058</v>
      </c>
      <c r="AC36" s="222">
        <f t="shared" si="26"/>
        <v>0.1349628304570315</v>
      </c>
      <c r="AD36" s="542"/>
      <c r="AE36" s="841"/>
    </row>
    <row r="37" spans="1:31" x14ac:dyDescent="0.3">
      <c r="A37" s="523" t="s">
        <v>80</v>
      </c>
      <c r="B37" s="645">
        <v>23550</v>
      </c>
      <c r="C37" s="645">
        <v>29550</v>
      </c>
      <c r="D37" s="451">
        <f t="shared" si="14"/>
        <v>6000</v>
      </c>
      <c r="E37" s="220">
        <f t="shared" si="15"/>
        <v>0.25477707006369427</v>
      </c>
      <c r="F37" s="937"/>
      <c r="G37" s="642">
        <v>23550</v>
      </c>
      <c r="H37" s="642">
        <v>31445.5</v>
      </c>
      <c r="I37" s="451">
        <f t="shared" si="16"/>
        <v>7895.5</v>
      </c>
      <c r="J37" s="221">
        <f t="shared" si="17"/>
        <v>0.33526539278131634</v>
      </c>
      <c r="K37" s="937"/>
      <c r="L37" s="642">
        <v>23550</v>
      </c>
      <c r="M37" s="642">
        <v>19550</v>
      </c>
      <c r="N37" s="451">
        <f t="shared" si="18"/>
        <v>-4000</v>
      </c>
      <c r="O37" s="294">
        <f t="shared" si="19"/>
        <v>-0.16985138004246284</v>
      </c>
      <c r="P37" s="937"/>
      <c r="Q37" s="642">
        <v>23550</v>
      </c>
      <c r="R37" s="642">
        <v>17550</v>
      </c>
      <c r="S37" s="451">
        <f t="shared" si="20"/>
        <v>-6000</v>
      </c>
      <c r="T37" s="221">
        <f t="shared" si="21"/>
        <v>-0.25477707006369427</v>
      </c>
      <c r="U37" s="256"/>
      <c r="V37" s="450">
        <f t="shared" si="22"/>
        <v>94200</v>
      </c>
      <c r="W37" s="451">
        <f t="shared" si="27"/>
        <v>98095.5</v>
      </c>
      <c r="X37" s="451">
        <f t="shared" si="23"/>
        <v>3895.5</v>
      </c>
      <c r="Y37" s="294">
        <f t="shared" si="24"/>
        <v>4.1353503184713376E-2</v>
      </c>
      <c r="Z37" s="256"/>
      <c r="AA37" s="450">
        <v>94200</v>
      </c>
      <c r="AB37" s="451">
        <f t="shared" si="25"/>
        <v>-3895.5</v>
      </c>
      <c r="AC37" s="220">
        <f t="shared" si="26"/>
        <v>-4.1353503184713376E-2</v>
      </c>
      <c r="AD37" s="542"/>
      <c r="AE37" s="841"/>
    </row>
    <row r="38" spans="1:31" x14ac:dyDescent="0.3">
      <c r="A38" s="523" t="s">
        <v>130</v>
      </c>
      <c r="B38" s="645">
        <v>19137.72</v>
      </c>
      <c r="C38" s="645">
        <v>15096</v>
      </c>
      <c r="D38" s="451">
        <f t="shared" si="14"/>
        <v>-4041.7200000000012</v>
      </c>
      <c r="E38" s="220">
        <f t="shared" si="15"/>
        <v>-0.21119130178516568</v>
      </c>
      <c r="F38" s="935"/>
      <c r="G38" s="642">
        <v>19137.72</v>
      </c>
      <c r="H38" s="642">
        <v>14652</v>
      </c>
      <c r="I38" s="451">
        <f t="shared" si="16"/>
        <v>-4485.7200000000012</v>
      </c>
      <c r="J38" s="221">
        <f t="shared" si="17"/>
        <v>-0.23439155761501373</v>
      </c>
      <c r="K38" s="935"/>
      <c r="L38" s="642">
        <v>19137.72</v>
      </c>
      <c r="M38" s="642">
        <v>15096</v>
      </c>
      <c r="N38" s="451">
        <f t="shared" si="18"/>
        <v>-4041.7200000000012</v>
      </c>
      <c r="O38" s="220">
        <f t="shared" si="19"/>
        <v>-0.21119130178516568</v>
      </c>
      <c r="P38" s="935"/>
      <c r="Q38" s="642">
        <v>19137.72</v>
      </c>
      <c r="R38" s="642">
        <v>15984</v>
      </c>
      <c r="S38" s="451">
        <f t="shared" si="20"/>
        <v>-3153.7200000000012</v>
      </c>
      <c r="T38" s="221">
        <f t="shared" si="21"/>
        <v>-0.16479079012546954</v>
      </c>
      <c r="U38" s="191"/>
      <c r="V38" s="450">
        <f t="shared" si="22"/>
        <v>76550.880000000005</v>
      </c>
      <c r="W38" s="451">
        <f t="shared" si="27"/>
        <v>60828</v>
      </c>
      <c r="X38" s="451">
        <f t="shared" si="23"/>
        <v>-15722.880000000005</v>
      </c>
      <c r="Y38" s="220">
        <f t="shared" si="24"/>
        <v>-0.20539123782770366</v>
      </c>
      <c r="Z38" s="191"/>
      <c r="AA38" s="450">
        <v>76551</v>
      </c>
      <c r="AB38" s="451">
        <f t="shared" si="25"/>
        <v>15723</v>
      </c>
      <c r="AC38" s="220">
        <f t="shared" si="26"/>
        <v>0.20539248344241093</v>
      </c>
      <c r="AD38" s="524"/>
      <c r="AE38" s="846"/>
    </row>
    <row r="39" spans="1:31" x14ac:dyDescent="0.3">
      <c r="A39" s="523" t="s">
        <v>129</v>
      </c>
      <c r="B39" s="645">
        <v>0</v>
      </c>
      <c r="C39" s="645">
        <v>1</v>
      </c>
      <c r="D39" s="451">
        <f t="shared" si="14"/>
        <v>1</v>
      </c>
      <c r="E39" s="220" t="str">
        <f t="shared" si="15"/>
        <v>-</v>
      </c>
      <c r="F39" s="935"/>
      <c r="G39" s="642">
        <v>0</v>
      </c>
      <c r="H39" s="642">
        <v>1</v>
      </c>
      <c r="I39" s="451">
        <f t="shared" si="16"/>
        <v>1</v>
      </c>
      <c r="J39" s="221" t="str">
        <f t="shared" si="17"/>
        <v>-</v>
      </c>
      <c r="K39" s="935"/>
      <c r="L39" s="642">
        <v>0</v>
      </c>
      <c r="M39" s="642">
        <v>1</v>
      </c>
      <c r="N39" s="451">
        <f t="shared" si="18"/>
        <v>1</v>
      </c>
      <c r="O39" s="220" t="str">
        <f t="shared" si="19"/>
        <v>-</v>
      </c>
      <c r="P39" s="935"/>
      <c r="Q39" s="642">
        <v>0</v>
      </c>
      <c r="R39" s="642">
        <v>0</v>
      </c>
      <c r="S39" s="451">
        <f t="shared" si="20"/>
        <v>0</v>
      </c>
      <c r="T39" s="221" t="str">
        <f t="shared" si="21"/>
        <v>-</v>
      </c>
      <c r="U39" s="191"/>
      <c r="V39" s="450">
        <f t="shared" si="22"/>
        <v>0</v>
      </c>
      <c r="W39" s="451">
        <f t="shared" si="27"/>
        <v>3</v>
      </c>
      <c r="X39" s="451">
        <f t="shared" si="23"/>
        <v>3</v>
      </c>
      <c r="Y39" s="220" t="str">
        <f t="shared" si="24"/>
        <v>-</v>
      </c>
      <c r="Z39" s="191"/>
      <c r="AA39" s="450">
        <v>0</v>
      </c>
      <c r="AB39" s="451">
        <f t="shared" si="25"/>
        <v>-3</v>
      </c>
      <c r="AC39" s="220" t="str">
        <f t="shared" si="26"/>
        <v>-</v>
      </c>
      <c r="AD39" s="524"/>
      <c r="AE39" s="846"/>
    </row>
    <row r="40" spans="1:31" x14ac:dyDescent="0.3">
      <c r="A40" s="543" t="s">
        <v>40</v>
      </c>
      <c r="B40" s="646">
        <v>0</v>
      </c>
      <c r="C40" s="646">
        <v>0</v>
      </c>
      <c r="D40" s="451">
        <f t="shared" si="14"/>
        <v>0</v>
      </c>
      <c r="E40" s="220" t="str">
        <f t="shared" si="15"/>
        <v>-</v>
      </c>
      <c r="F40" s="934"/>
      <c r="G40" s="655"/>
      <c r="H40" s="655"/>
      <c r="I40" s="451">
        <f t="shared" si="16"/>
        <v>0</v>
      </c>
      <c r="J40" s="221" t="str">
        <f t="shared" si="17"/>
        <v>-</v>
      </c>
      <c r="K40" s="934"/>
      <c r="L40" s="642">
        <v>0</v>
      </c>
      <c r="M40" s="642">
        <v>0</v>
      </c>
      <c r="N40" s="451">
        <f t="shared" si="18"/>
        <v>0</v>
      </c>
      <c r="O40" s="259" t="str">
        <f t="shared" si="19"/>
        <v>-</v>
      </c>
      <c r="P40" s="934"/>
      <c r="Q40" s="642">
        <v>0</v>
      </c>
      <c r="R40" s="642">
        <v>0</v>
      </c>
      <c r="S40" s="451">
        <f t="shared" si="20"/>
        <v>0</v>
      </c>
      <c r="T40" s="221" t="str">
        <f t="shared" si="21"/>
        <v>-</v>
      </c>
      <c r="U40" s="184"/>
      <c r="V40" s="450">
        <f t="shared" si="22"/>
        <v>0</v>
      </c>
      <c r="W40" s="478">
        <f t="shared" si="27"/>
        <v>0</v>
      </c>
      <c r="X40" s="451">
        <f t="shared" si="23"/>
        <v>0</v>
      </c>
      <c r="Y40" s="259" t="str">
        <f t="shared" si="24"/>
        <v>-</v>
      </c>
      <c r="Z40" s="184"/>
      <c r="AA40" s="450">
        <v>0</v>
      </c>
      <c r="AB40" s="478">
        <f t="shared" si="25"/>
        <v>0</v>
      </c>
      <c r="AC40" s="259" t="str">
        <f t="shared" si="26"/>
        <v>-</v>
      </c>
      <c r="AD40" s="521"/>
      <c r="AE40" s="848"/>
    </row>
    <row r="41" spans="1:31" x14ac:dyDescent="0.3">
      <c r="A41" s="526" t="s">
        <v>83</v>
      </c>
      <c r="B41" s="640">
        <f>SUM(B33:B40)</f>
        <v>628692.44999999995</v>
      </c>
      <c r="C41" s="470">
        <f>SUM(C33:C40)</f>
        <v>453924.31000000006</v>
      </c>
      <c r="D41" s="470">
        <f>SUM(D33:D40)</f>
        <v>-174768.13999999993</v>
      </c>
      <c r="E41" s="237">
        <f t="shared" si="15"/>
        <v>-0.27798670081054727</v>
      </c>
      <c r="F41" s="935"/>
      <c r="G41" s="640">
        <f>SUM(G33:G40)</f>
        <v>667701.44999999995</v>
      </c>
      <c r="H41" s="470">
        <f>SUM(H33:H40)</f>
        <v>469588.24999999988</v>
      </c>
      <c r="I41" s="470">
        <f>SUM(I33:I40)</f>
        <v>-198113.20000000007</v>
      </c>
      <c r="J41" s="237">
        <f t="shared" si="17"/>
        <v>-0.29670925531163678</v>
      </c>
      <c r="K41" s="935"/>
      <c r="L41" s="640">
        <f>SUM(L33:L40)</f>
        <v>628710.44999999995</v>
      </c>
      <c r="M41" s="470">
        <f>SUM(M33:M40)</f>
        <v>489872.63999999996</v>
      </c>
      <c r="N41" s="470">
        <f>SUM(N33:N40)</f>
        <v>-138837.81000000003</v>
      </c>
      <c r="O41" s="237">
        <f t="shared" si="19"/>
        <v>-0.22082949313153621</v>
      </c>
      <c r="P41" s="935"/>
      <c r="Q41" s="640">
        <f>SUM(Q33:Q40)</f>
        <v>628719.44999999995</v>
      </c>
      <c r="R41" s="470">
        <f>SUM(R33:R40)</f>
        <v>711459.3899999999</v>
      </c>
      <c r="S41" s="470">
        <f>SUM(S33:S40)</f>
        <v>82739.939999999944</v>
      </c>
      <c r="T41" s="237">
        <f t="shared" si="21"/>
        <v>0.13160073225029056</v>
      </c>
      <c r="U41" s="191"/>
      <c r="V41" s="469">
        <f>SUM(V33:V40)</f>
        <v>2553823.7999999998</v>
      </c>
      <c r="W41" s="470">
        <f>SUM(W33:W40)</f>
        <v>2124844.59</v>
      </c>
      <c r="X41" s="470">
        <f>SUM(X33:X40)</f>
        <v>-428979.21000000008</v>
      </c>
      <c r="Y41" s="237">
        <f t="shared" si="24"/>
        <v>-0.1679752573376441</v>
      </c>
      <c r="Z41" s="191"/>
      <c r="AA41" s="471">
        <f>SUM(AA33:AA40)</f>
        <v>2553824</v>
      </c>
      <c r="AB41" s="472">
        <f>SUM(AB33:AB40)</f>
        <v>428979.41000000015</v>
      </c>
      <c r="AC41" s="544">
        <f t="shared" si="26"/>
        <v>0.16797532249677352</v>
      </c>
      <c r="AD41" s="524"/>
      <c r="AE41" s="847"/>
    </row>
    <row r="42" spans="1:31" x14ac:dyDescent="0.3">
      <c r="A42" s="539"/>
      <c r="B42" s="641"/>
      <c r="C42" s="460"/>
      <c r="D42" s="460"/>
      <c r="E42" s="532"/>
      <c r="F42" s="934"/>
      <c r="G42" s="940"/>
      <c r="H42" s="462"/>
      <c r="I42" s="462"/>
      <c r="J42" s="545"/>
      <c r="K42" s="934"/>
      <c r="L42" s="641"/>
      <c r="M42" s="460"/>
      <c r="N42" s="460"/>
      <c r="O42" s="532"/>
      <c r="P42" s="934"/>
      <c r="Q42" s="940"/>
      <c r="R42" s="462"/>
      <c r="S42" s="462"/>
      <c r="T42" s="545"/>
      <c r="U42" s="184"/>
      <c r="V42" s="459"/>
      <c r="W42" s="460"/>
      <c r="X42" s="460"/>
      <c r="Y42" s="213"/>
      <c r="Z42" s="184"/>
      <c r="AA42" s="459"/>
      <c r="AB42" s="460"/>
      <c r="AC42" s="213"/>
      <c r="AD42" s="521"/>
      <c r="AE42" s="841"/>
    </row>
    <row r="43" spans="1:31" x14ac:dyDescent="0.3">
      <c r="A43" s="534" t="s">
        <v>84</v>
      </c>
      <c r="B43" s="449"/>
      <c r="C43" s="647"/>
      <c r="D43" s="482"/>
      <c r="E43" s="546"/>
      <c r="F43" s="933"/>
      <c r="G43" s="943"/>
      <c r="H43" s="484"/>
      <c r="I43" s="484"/>
      <c r="J43" s="547"/>
      <c r="K43" s="933"/>
      <c r="L43" s="647"/>
      <c r="M43" s="482"/>
      <c r="N43" s="482"/>
      <c r="O43" s="546"/>
      <c r="P43" s="933"/>
      <c r="Q43" s="943"/>
      <c r="R43" s="484"/>
      <c r="S43" s="484"/>
      <c r="T43" s="547"/>
      <c r="U43" s="175"/>
      <c r="V43" s="481"/>
      <c r="W43" s="482"/>
      <c r="X43" s="451"/>
      <c r="Y43" s="251"/>
      <c r="Z43" s="175"/>
      <c r="AA43" s="481"/>
      <c r="AB43" s="451"/>
      <c r="AC43" s="251"/>
      <c r="AD43" s="518"/>
      <c r="AE43" s="841"/>
    </row>
    <row r="44" spans="1:31" x14ac:dyDescent="0.3">
      <c r="A44" s="523" t="s">
        <v>85</v>
      </c>
      <c r="B44" s="453">
        <v>30721.75</v>
      </c>
      <c r="C44" s="642">
        <v>5629.45</v>
      </c>
      <c r="D44" s="451">
        <f>C44-B44</f>
        <v>-25092.3</v>
      </c>
      <c r="E44" s="220">
        <f t="shared" ref="E44:E76" si="28">IF(ISERROR(D44/B44),"-",D44/B44)</f>
        <v>-0.81676011294929485</v>
      </c>
      <c r="F44" s="935"/>
      <c r="G44" s="642">
        <v>31388.41</v>
      </c>
      <c r="H44" s="642">
        <v>8996.7200000000012</v>
      </c>
      <c r="I44" s="451">
        <f t="shared" ref="I44:I75" si="29">H44-G44</f>
        <v>-22391.69</v>
      </c>
      <c r="J44" s="221">
        <f t="shared" ref="J44:J75" si="30">IF(ISERROR(I44/G44),"-",I44/G44)</f>
        <v>-0.71337445891652362</v>
      </c>
      <c r="K44" s="935"/>
      <c r="L44" s="642">
        <v>31388.41</v>
      </c>
      <c r="M44" s="642">
        <v>6031.5599999999995</v>
      </c>
      <c r="N44" s="451">
        <f t="shared" ref="N44:N75" si="31">M44-L44</f>
        <v>-25356.85</v>
      </c>
      <c r="O44" s="220">
        <f t="shared" ref="O44:O72" si="32">IF(ISERROR(N44/L44),"-",N44/L44)</f>
        <v>-0.80784117449721082</v>
      </c>
      <c r="P44" s="935"/>
      <c r="Q44" s="642">
        <v>31388.43</v>
      </c>
      <c r="R44" s="642">
        <v>16969.62</v>
      </c>
      <c r="S44" s="451">
        <f t="shared" ref="S44:S75" si="33">R44-Q44</f>
        <v>-14418.810000000001</v>
      </c>
      <c r="T44" s="221">
        <f t="shared" ref="T44:T72" si="34">IF(ISERROR(S44/Q44),"-",S44/Q44)</f>
        <v>-0.4593670342862004</v>
      </c>
      <c r="U44" s="191"/>
      <c r="V44" s="450">
        <f>B44+G44+L44+Q44</f>
        <v>124887</v>
      </c>
      <c r="W44" s="451">
        <f>C44+H44+M44+R44</f>
        <v>37627.350000000006</v>
      </c>
      <c r="X44" s="451">
        <f>W44-V44</f>
        <v>-87259.65</v>
      </c>
      <c r="Y44" s="220">
        <f t="shared" ref="Y44:Y76" si="35">IF(ISERROR(X44/V44),"-",X44/V44)</f>
        <v>-0.69870883278483742</v>
      </c>
      <c r="Z44" s="191"/>
      <c r="AA44" s="450">
        <v>124887</v>
      </c>
      <c r="AB44" s="451">
        <f t="shared" ref="AB44:AB75" si="36">AA44-W44</f>
        <v>87259.65</v>
      </c>
      <c r="AC44" s="220">
        <f t="shared" ref="AC44:AC76" si="37">IF(ISERROR(AB44/AA44),"-",AB44/AA44)</f>
        <v>0.69870883278483742</v>
      </c>
      <c r="AD44" s="524"/>
      <c r="AE44" s="842"/>
    </row>
    <row r="45" spans="1:31" x14ac:dyDescent="0.3">
      <c r="A45" s="523" t="s">
        <v>128</v>
      </c>
      <c r="B45" s="453">
        <v>0</v>
      </c>
      <c r="C45" s="642">
        <v>0</v>
      </c>
      <c r="D45" s="451">
        <f t="shared" ref="D45:D75" si="38">C45-B45</f>
        <v>0</v>
      </c>
      <c r="E45" s="220" t="str">
        <f t="shared" si="28"/>
        <v>-</v>
      </c>
      <c r="F45" s="937"/>
      <c r="G45" s="642">
        <v>33602.5</v>
      </c>
      <c r="H45" s="642">
        <v>0</v>
      </c>
      <c r="I45" s="451">
        <f t="shared" si="29"/>
        <v>-33602.5</v>
      </c>
      <c r="J45" s="221">
        <f t="shared" si="30"/>
        <v>-1</v>
      </c>
      <c r="K45" s="937"/>
      <c r="L45" s="642">
        <v>16801.25</v>
      </c>
      <c r="M45" s="642">
        <v>0</v>
      </c>
      <c r="N45" s="451">
        <f t="shared" si="31"/>
        <v>-16801.25</v>
      </c>
      <c r="O45" s="220">
        <f t="shared" si="32"/>
        <v>-1</v>
      </c>
      <c r="P45" s="937"/>
      <c r="Q45" s="642">
        <v>16801.25</v>
      </c>
      <c r="R45" s="642">
        <v>53766</v>
      </c>
      <c r="S45" s="451">
        <f t="shared" si="33"/>
        <v>36964.75</v>
      </c>
      <c r="T45" s="221">
        <f t="shared" si="34"/>
        <v>2.2001190387619967</v>
      </c>
      <c r="U45" s="256"/>
      <c r="V45" s="450">
        <f t="shared" ref="V45:V75" si="39">B45+G45+L45+Q45</f>
        <v>67205</v>
      </c>
      <c r="W45" s="451">
        <f t="shared" ref="W45:W75" si="40">C45+H45+M45+R45</f>
        <v>53766</v>
      </c>
      <c r="X45" s="451">
        <f t="shared" ref="X45:X75" si="41">W45-V45</f>
        <v>-13439</v>
      </c>
      <c r="Y45" s="220">
        <f t="shared" si="35"/>
        <v>-0.19997024030950078</v>
      </c>
      <c r="Z45" s="256"/>
      <c r="AA45" s="450">
        <v>67205</v>
      </c>
      <c r="AB45" s="451">
        <f t="shared" si="36"/>
        <v>13439</v>
      </c>
      <c r="AC45" s="220">
        <f t="shared" si="37"/>
        <v>0.19997024030950078</v>
      </c>
      <c r="AD45" s="542"/>
      <c r="AE45" s="841"/>
    </row>
    <row r="46" spans="1:31" x14ac:dyDescent="0.3">
      <c r="A46" s="523" t="s">
        <v>127</v>
      </c>
      <c r="B46" s="453">
        <v>0</v>
      </c>
      <c r="C46" s="642">
        <v>0</v>
      </c>
      <c r="D46" s="451">
        <f t="shared" si="38"/>
        <v>0</v>
      </c>
      <c r="E46" s="220" t="str">
        <f t="shared" si="28"/>
        <v>-</v>
      </c>
      <c r="F46" s="937"/>
      <c r="G46" s="642">
        <v>0</v>
      </c>
      <c r="H46" s="642">
        <v>0</v>
      </c>
      <c r="I46" s="451">
        <f t="shared" si="29"/>
        <v>0</v>
      </c>
      <c r="J46" s="295" t="str">
        <f t="shared" si="30"/>
        <v>-</v>
      </c>
      <c r="K46" s="937"/>
      <c r="L46" s="642">
        <v>0</v>
      </c>
      <c r="M46" s="642">
        <v>0</v>
      </c>
      <c r="N46" s="451">
        <f t="shared" si="31"/>
        <v>0</v>
      </c>
      <c r="O46" s="294" t="str">
        <f t="shared" si="32"/>
        <v>-</v>
      </c>
      <c r="P46" s="937"/>
      <c r="Q46" s="642">
        <v>0</v>
      </c>
      <c r="R46" s="642">
        <v>1</v>
      </c>
      <c r="S46" s="451">
        <f t="shared" si="33"/>
        <v>1</v>
      </c>
      <c r="T46" s="295" t="str">
        <f t="shared" si="34"/>
        <v>-</v>
      </c>
      <c r="U46" s="256"/>
      <c r="V46" s="450">
        <f t="shared" si="39"/>
        <v>0</v>
      </c>
      <c r="W46" s="451">
        <f t="shared" si="40"/>
        <v>1</v>
      </c>
      <c r="X46" s="451">
        <f t="shared" si="41"/>
        <v>1</v>
      </c>
      <c r="Y46" s="294" t="str">
        <f t="shared" si="35"/>
        <v>-</v>
      </c>
      <c r="Z46" s="256"/>
      <c r="AA46" s="450">
        <v>0</v>
      </c>
      <c r="AB46" s="451">
        <f t="shared" si="36"/>
        <v>-1</v>
      </c>
      <c r="AC46" s="294" t="str">
        <f t="shared" si="37"/>
        <v>-</v>
      </c>
      <c r="AD46" s="542"/>
      <c r="AE46" s="841"/>
    </row>
    <row r="47" spans="1:31" x14ac:dyDescent="0.3">
      <c r="A47" s="523" t="s">
        <v>86</v>
      </c>
      <c r="B47" s="453">
        <v>2620.02</v>
      </c>
      <c r="C47" s="642">
        <v>950.25</v>
      </c>
      <c r="D47" s="451">
        <f t="shared" si="38"/>
        <v>-1669.77</v>
      </c>
      <c r="E47" s="220">
        <f t="shared" si="28"/>
        <v>-0.63731192891657318</v>
      </c>
      <c r="F47" s="937"/>
      <c r="G47" s="683">
        <v>3610.02</v>
      </c>
      <c r="H47" s="642">
        <v>576.72</v>
      </c>
      <c r="I47" s="451">
        <f t="shared" si="29"/>
        <v>-3033.3</v>
      </c>
      <c r="J47" s="221">
        <f t="shared" si="30"/>
        <v>-0.84024465238419732</v>
      </c>
      <c r="K47" s="937"/>
      <c r="L47" s="642">
        <v>3235.02</v>
      </c>
      <c r="M47" s="642">
        <v>4617.49</v>
      </c>
      <c r="N47" s="451">
        <f t="shared" si="31"/>
        <v>1382.4699999999998</v>
      </c>
      <c r="O47" s="220">
        <f t="shared" si="32"/>
        <v>0.42734511687717536</v>
      </c>
      <c r="P47" s="937"/>
      <c r="Q47" s="642">
        <v>3735.02</v>
      </c>
      <c r="R47" s="642">
        <v>6291.59</v>
      </c>
      <c r="S47" s="451">
        <f t="shared" si="33"/>
        <v>2556.5700000000002</v>
      </c>
      <c r="T47" s="221">
        <f t="shared" si="34"/>
        <v>0.68448629458476795</v>
      </c>
      <c r="U47" s="256"/>
      <c r="V47" s="450">
        <f t="shared" si="39"/>
        <v>13200.08</v>
      </c>
      <c r="W47" s="451">
        <f t="shared" si="40"/>
        <v>12436.05</v>
      </c>
      <c r="X47" s="451">
        <f t="shared" si="41"/>
        <v>-764.03000000000065</v>
      </c>
      <c r="Y47" s="220">
        <f t="shared" si="35"/>
        <v>-5.7880709813879966E-2</v>
      </c>
      <c r="Z47" s="256"/>
      <c r="AA47" s="450">
        <v>13200</v>
      </c>
      <c r="AB47" s="451">
        <f t="shared" si="36"/>
        <v>763.95000000000073</v>
      </c>
      <c r="AC47" s="220">
        <f t="shared" si="37"/>
        <v>5.7875000000000058E-2</v>
      </c>
      <c r="AD47" s="542"/>
      <c r="AE47" s="842"/>
    </row>
    <row r="48" spans="1:31" s="757" customFormat="1" x14ac:dyDescent="0.3">
      <c r="A48" s="754" t="s">
        <v>87</v>
      </c>
      <c r="B48" s="886">
        <v>0</v>
      </c>
      <c r="C48" s="716">
        <v>0</v>
      </c>
      <c r="D48" s="451">
        <f t="shared" si="38"/>
        <v>0</v>
      </c>
      <c r="E48" s="220" t="str">
        <f t="shared" si="28"/>
        <v>-</v>
      </c>
      <c r="F48" s="950"/>
      <c r="G48" s="887">
        <v>0</v>
      </c>
      <c r="H48" s="716">
        <v>0</v>
      </c>
      <c r="I48" s="451">
        <f t="shared" si="29"/>
        <v>0</v>
      </c>
      <c r="J48" s="295" t="str">
        <f t="shared" si="30"/>
        <v>-</v>
      </c>
      <c r="K48" s="950"/>
      <c r="L48" s="642">
        <v>0</v>
      </c>
      <c r="M48" s="642">
        <v>0</v>
      </c>
      <c r="N48" s="451">
        <f t="shared" si="31"/>
        <v>0</v>
      </c>
      <c r="O48" s="295" t="str">
        <f t="shared" si="32"/>
        <v>-</v>
      </c>
      <c r="P48" s="950"/>
      <c r="Q48" s="642"/>
      <c r="R48" s="642"/>
      <c r="S48" s="451">
        <f t="shared" si="33"/>
        <v>0</v>
      </c>
      <c r="T48" s="295" t="str">
        <f t="shared" si="34"/>
        <v>-</v>
      </c>
      <c r="U48" s="755"/>
      <c r="V48" s="450">
        <f t="shared" si="39"/>
        <v>0</v>
      </c>
      <c r="W48" s="451">
        <f t="shared" si="40"/>
        <v>0</v>
      </c>
      <c r="X48" s="451">
        <f t="shared" si="41"/>
        <v>0</v>
      </c>
      <c r="Y48" s="295" t="str">
        <f t="shared" si="35"/>
        <v>-</v>
      </c>
      <c r="Z48" s="755"/>
      <c r="AA48" s="450">
        <v>0</v>
      </c>
      <c r="AB48" s="464">
        <f t="shared" si="36"/>
        <v>0</v>
      </c>
      <c r="AC48" s="295" t="str">
        <f t="shared" si="37"/>
        <v>-</v>
      </c>
      <c r="AD48" s="756"/>
      <c r="AE48" s="843"/>
    </row>
    <row r="49" spans="1:31" x14ac:dyDescent="0.3">
      <c r="A49" s="523" t="s">
        <v>88</v>
      </c>
      <c r="B49" s="453">
        <v>20000.009999999998</v>
      </c>
      <c r="C49" s="642">
        <v>13841.62</v>
      </c>
      <c r="D49" s="451">
        <f>C49-B49</f>
        <v>-6158.3899999999976</v>
      </c>
      <c r="E49" s="220">
        <f t="shared" si="28"/>
        <v>-0.30791934604032689</v>
      </c>
      <c r="F49" s="935"/>
      <c r="G49" s="683">
        <v>20000.009999999998</v>
      </c>
      <c r="H49" s="642">
        <v>14386.139999999998</v>
      </c>
      <c r="I49" s="451">
        <f t="shared" si="29"/>
        <v>-5613.8700000000008</v>
      </c>
      <c r="J49" s="221">
        <f t="shared" si="30"/>
        <v>-0.28069335965332026</v>
      </c>
      <c r="K49" s="935"/>
      <c r="L49" s="642">
        <v>20000.009999999998</v>
      </c>
      <c r="M49" s="642">
        <v>11896.01</v>
      </c>
      <c r="N49" s="451">
        <f t="shared" si="31"/>
        <v>-8103.9999999999982</v>
      </c>
      <c r="O49" s="220">
        <f t="shared" si="32"/>
        <v>-0.40519979740010126</v>
      </c>
      <c r="P49" s="935"/>
      <c r="Q49" s="642">
        <v>19999.97</v>
      </c>
      <c r="R49" s="642">
        <v>19456.259999999998</v>
      </c>
      <c r="S49" s="451">
        <f t="shared" si="33"/>
        <v>-543.71000000000276</v>
      </c>
      <c r="T49" s="221">
        <f t="shared" si="34"/>
        <v>-2.7185540778311305E-2</v>
      </c>
      <c r="U49" s="191"/>
      <c r="V49" s="450">
        <f t="shared" si="39"/>
        <v>80000</v>
      </c>
      <c r="W49" s="451">
        <f t="shared" si="40"/>
        <v>59580.03</v>
      </c>
      <c r="X49" s="451">
        <f t="shared" si="41"/>
        <v>-20419.97</v>
      </c>
      <c r="Y49" s="220">
        <f t="shared" si="35"/>
        <v>-0.25524962500000004</v>
      </c>
      <c r="Z49" s="191"/>
      <c r="AA49" s="450">
        <v>80000</v>
      </c>
      <c r="AB49" s="451">
        <f t="shared" si="36"/>
        <v>20419.97</v>
      </c>
      <c r="AC49" s="220">
        <f t="shared" si="37"/>
        <v>0.25524962500000004</v>
      </c>
      <c r="AD49" s="524"/>
      <c r="AE49" s="844"/>
    </row>
    <row r="50" spans="1:31" x14ac:dyDescent="0.3">
      <c r="A50" s="523" t="s">
        <v>89</v>
      </c>
      <c r="B50" s="453">
        <v>27173.69</v>
      </c>
      <c r="C50" s="642">
        <v>49825.73</v>
      </c>
      <c r="D50" s="451">
        <f t="shared" si="38"/>
        <v>22652.040000000005</v>
      </c>
      <c r="E50" s="220">
        <f t="shared" si="28"/>
        <v>0.83360191420451202</v>
      </c>
      <c r="F50" s="935"/>
      <c r="G50" s="683">
        <v>2250.0100000000002</v>
      </c>
      <c r="H50" s="642">
        <v>9925.6099999999969</v>
      </c>
      <c r="I50" s="451">
        <f t="shared" si="29"/>
        <v>7675.5999999999967</v>
      </c>
      <c r="J50" s="221">
        <f t="shared" si="30"/>
        <v>3.4113626161661488</v>
      </c>
      <c r="K50" s="935"/>
      <c r="L50" s="642">
        <v>2750.01</v>
      </c>
      <c r="M50" s="642">
        <v>13217</v>
      </c>
      <c r="N50" s="451">
        <f t="shared" si="31"/>
        <v>10466.99</v>
      </c>
      <c r="O50" s="220">
        <f t="shared" si="32"/>
        <v>3.806164341220577</v>
      </c>
      <c r="P50" s="935"/>
      <c r="Q50" s="642">
        <v>42095.29</v>
      </c>
      <c r="R50" s="642">
        <v>32923.599999999999</v>
      </c>
      <c r="S50" s="451">
        <f t="shared" si="33"/>
        <v>-9171.6900000000023</v>
      </c>
      <c r="T50" s="221">
        <f t="shared" si="34"/>
        <v>-0.21787924492265054</v>
      </c>
      <c r="U50" s="191"/>
      <c r="V50" s="450">
        <f t="shared" si="39"/>
        <v>74269</v>
      </c>
      <c r="W50" s="451">
        <f t="shared" si="40"/>
        <v>105891.94</v>
      </c>
      <c r="X50" s="451">
        <f t="shared" si="41"/>
        <v>31622.940000000002</v>
      </c>
      <c r="Y50" s="220">
        <f t="shared" si="35"/>
        <v>0.42578922565269495</v>
      </c>
      <c r="Z50" s="191"/>
      <c r="AA50" s="450">
        <v>74269</v>
      </c>
      <c r="AB50" s="451">
        <f t="shared" si="36"/>
        <v>-31622.940000000002</v>
      </c>
      <c r="AC50" s="220">
        <f t="shared" si="37"/>
        <v>-0.42578922565269495</v>
      </c>
      <c r="AD50" s="524"/>
      <c r="AE50" s="842"/>
    </row>
    <row r="51" spans="1:31" x14ac:dyDescent="0.3">
      <c r="A51" s="523" t="s">
        <v>113</v>
      </c>
      <c r="B51" s="453">
        <v>84193.77</v>
      </c>
      <c r="C51" s="642">
        <v>43769.09</v>
      </c>
      <c r="D51" s="451">
        <f t="shared" si="38"/>
        <v>-40424.680000000008</v>
      </c>
      <c r="E51" s="220">
        <f t="shared" si="28"/>
        <v>-0.48013861358150378</v>
      </c>
      <c r="F51" s="935"/>
      <c r="G51" s="683">
        <v>84193.77</v>
      </c>
      <c r="H51" s="642">
        <v>105107.35</v>
      </c>
      <c r="I51" s="451">
        <f t="shared" si="29"/>
        <v>20913.580000000002</v>
      </c>
      <c r="J51" s="221"/>
      <c r="K51" s="935"/>
      <c r="L51" s="642">
        <v>84193.77</v>
      </c>
      <c r="M51" s="642">
        <v>71895</v>
      </c>
      <c r="N51" s="451">
        <f t="shared" si="31"/>
        <v>-12298.770000000004</v>
      </c>
      <c r="O51" s="220"/>
      <c r="P51" s="935"/>
      <c r="Q51" s="642">
        <v>0</v>
      </c>
      <c r="R51" s="642">
        <v>0</v>
      </c>
      <c r="S51" s="451">
        <f t="shared" si="33"/>
        <v>0</v>
      </c>
      <c r="T51" s="221"/>
      <c r="U51" s="191"/>
      <c r="V51" s="450">
        <f t="shared" si="39"/>
        <v>252581.31</v>
      </c>
      <c r="W51" s="451">
        <f t="shared" si="40"/>
        <v>220771.44</v>
      </c>
      <c r="X51" s="451">
        <f t="shared" si="41"/>
        <v>-31809.869999999995</v>
      </c>
      <c r="Y51" s="220">
        <f t="shared" si="35"/>
        <v>-0.12593912827516809</v>
      </c>
      <c r="Z51" s="191"/>
      <c r="AA51" s="450">
        <v>336775</v>
      </c>
      <c r="AB51" s="451">
        <f t="shared" si="36"/>
        <v>116003.56</v>
      </c>
      <c r="AC51" s="220">
        <f t="shared" si="37"/>
        <v>0.34445419048326031</v>
      </c>
      <c r="AD51" s="524"/>
      <c r="AE51" s="844"/>
    </row>
    <row r="52" spans="1:31" x14ac:dyDescent="0.3">
      <c r="A52" s="523" t="s">
        <v>126</v>
      </c>
      <c r="B52" s="642">
        <v>0</v>
      </c>
      <c r="C52" s="642">
        <v>39977.620000000003</v>
      </c>
      <c r="D52" s="451">
        <f t="shared" si="38"/>
        <v>39977.620000000003</v>
      </c>
      <c r="E52" s="220" t="str">
        <f t="shared" si="28"/>
        <v>-</v>
      </c>
      <c r="F52" s="937"/>
      <c r="G52" s="642">
        <v>0</v>
      </c>
      <c r="H52" s="642">
        <v>34482.92</v>
      </c>
      <c r="I52" s="451">
        <f t="shared" si="29"/>
        <v>34482.92</v>
      </c>
      <c r="J52" s="221" t="str">
        <f t="shared" si="30"/>
        <v>-</v>
      </c>
      <c r="K52" s="937"/>
      <c r="L52" s="642">
        <v>0</v>
      </c>
      <c r="M52" s="642">
        <v>44692.149999999994</v>
      </c>
      <c r="N52" s="451">
        <f t="shared" si="31"/>
        <v>44692.149999999994</v>
      </c>
      <c r="O52" s="220" t="str">
        <f t="shared" si="32"/>
        <v>-</v>
      </c>
      <c r="P52" s="937"/>
      <c r="Q52" s="642">
        <v>0</v>
      </c>
      <c r="R52" s="642">
        <v>44177.020000000004</v>
      </c>
      <c r="S52" s="451">
        <f t="shared" si="33"/>
        <v>44177.020000000004</v>
      </c>
      <c r="T52" s="221" t="str">
        <f t="shared" si="34"/>
        <v>-</v>
      </c>
      <c r="U52" s="256"/>
      <c r="V52" s="450">
        <f t="shared" si="39"/>
        <v>0</v>
      </c>
      <c r="W52" s="451">
        <f t="shared" si="40"/>
        <v>163329.71000000002</v>
      </c>
      <c r="X52" s="451">
        <f t="shared" si="41"/>
        <v>163329.71000000002</v>
      </c>
      <c r="Y52" s="220" t="str">
        <f t="shared" si="35"/>
        <v>-</v>
      </c>
      <c r="Z52" s="256"/>
      <c r="AA52" s="450">
        <v>0</v>
      </c>
      <c r="AB52" s="451">
        <f t="shared" si="36"/>
        <v>-163329.71000000002</v>
      </c>
      <c r="AC52" s="220" t="str">
        <f t="shared" si="37"/>
        <v>-</v>
      </c>
      <c r="AD52" s="542"/>
      <c r="AE52" s="522"/>
    </row>
    <row r="53" spans="1:31" x14ac:dyDescent="0.3">
      <c r="A53" s="523" t="s">
        <v>82</v>
      </c>
      <c r="B53" s="642">
        <v>41850</v>
      </c>
      <c r="C53" s="642">
        <v>34350</v>
      </c>
      <c r="D53" s="451">
        <f t="shared" si="38"/>
        <v>-7500</v>
      </c>
      <c r="E53" s="220">
        <f t="shared" si="28"/>
        <v>-0.17921146953405018</v>
      </c>
      <c r="F53" s="937"/>
      <c r="G53" s="642">
        <v>41850</v>
      </c>
      <c r="H53" s="642">
        <v>37350</v>
      </c>
      <c r="I53" s="451">
        <f t="shared" si="29"/>
        <v>-4500</v>
      </c>
      <c r="J53" s="221">
        <f t="shared" si="30"/>
        <v>-0.10752688172043011</v>
      </c>
      <c r="K53" s="937"/>
      <c r="L53" s="642">
        <v>41850</v>
      </c>
      <c r="M53" s="642">
        <v>37350</v>
      </c>
      <c r="N53" s="451">
        <f t="shared" si="31"/>
        <v>-4500</v>
      </c>
      <c r="O53" s="220">
        <f t="shared" si="32"/>
        <v>-0.10752688172043011</v>
      </c>
      <c r="P53" s="937"/>
      <c r="Q53" s="642">
        <v>41850</v>
      </c>
      <c r="R53" s="642">
        <v>39750</v>
      </c>
      <c r="S53" s="451">
        <f t="shared" si="33"/>
        <v>-2100</v>
      </c>
      <c r="T53" s="221">
        <f t="shared" si="34"/>
        <v>-5.0179211469534052E-2</v>
      </c>
      <c r="U53" s="256"/>
      <c r="V53" s="450">
        <f t="shared" si="39"/>
        <v>167400</v>
      </c>
      <c r="W53" s="451">
        <f t="shared" si="40"/>
        <v>148800</v>
      </c>
      <c r="X53" s="451">
        <f t="shared" si="41"/>
        <v>-18600</v>
      </c>
      <c r="Y53" s="220">
        <f t="shared" si="35"/>
        <v>-0.1111111111111111</v>
      </c>
      <c r="Z53" s="256"/>
      <c r="AA53" s="450">
        <v>167400</v>
      </c>
      <c r="AB53" s="451">
        <f>AA53-W53</f>
        <v>18600</v>
      </c>
      <c r="AC53" s="220">
        <f t="shared" si="37"/>
        <v>0.1111111111111111</v>
      </c>
      <c r="AD53" s="542"/>
      <c r="AE53" s="525"/>
    </row>
    <row r="54" spans="1:31" x14ac:dyDescent="0.3">
      <c r="A54" s="523" t="s">
        <v>125</v>
      </c>
      <c r="B54" s="642">
        <v>0</v>
      </c>
      <c r="C54" s="642">
        <v>0</v>
      </c>
      <c r="D54" s="451">
        <f t="shared" si="38"/>
        <v>0</v>
      </c>
      <c r="E54" s="220" t="str">
        <f t="shared" si="28"/>
        <v>-</v>
      </c>
      <c r="F54" s="937"/>
      <c r="G54" s="642">
        <v>0</v>
      </c>
      <c r="H54" s="642">
        <v>0</v>
      </c>
      <c r="I54" s="451">
        <f t="shared" si="29"/>
        <v>0</v>
      </c>
      <c r="J54" s="221" t="str">
        <f t="shared" si="30"/>
        <v>-</v>
      </c>
      <c r="K54" s="937"/>
      <c r="L54" s="642">
        <v>0</v>
      </c>
      <c r="M54" s="642">
        <v>0</v>
      </c>
      <c r="N54" s="451">
        <f t="shared" si="31"/>
        <v>0</v>
      </c>
      <c r="O54" s="220" t="str">
        <f t="shared" si="32"/>
        <v>-</v>
      </c>
      <c r="P54" s="937"/>
      <c r="Q54" s="642"/>
      <c r="R54" s="642"/>
      <c r="S54" s="451">
        <f t="shared" si="33"/>
        <v>0</v>
      </c>
      <c r="T54" s="221" t="str">
        <f t="shared" si="34"/>
        <v>-</v>
      </c>
      <c r="U54" s="256"/>
      <c r="V54" s="450">
        <f t="shared" si="39"/>
        <v>0</v>
      </c>
      <c r="W54" s="451">
        <f t="shared" si="40"/>
        <v>0</v>
      </c>
      <c r="X54" s="451">
        <f t="shared" si="41"/>
        <v>0</v>
      </c>
      <c r="Y54" s="220" t="str">
        <f t="shared" si="35"/>
        <v>-</v>
      </c>
      <c r="Z54" s="256"/>
      <c r="AA54" s="450">
        <v>0</v>
      </c>
      <c r="AB54" s="451">
        <f t="shared" si="36"/>
        <v>0</v>
      </c>
      <c r="AC54" s="220" t="str">
        <f t="shared" si="37"/>
        <v>-</v>
      </c>
      <c r="AD54" s="542"/>
      <c r="AE54" s="525"/>
    </row>
    <row r="55" spans="1:31" x14ac:dyDescent="0.3">
      <c r="A55" s="523" t="s">
        <v>90</v>
      </c>
      <c r="B55" s="642">
        <v>0</v>
      </c>
      <c r="C55" s="642">
        <v>0</v>
      </c>
      <c r="D55" s="451">
        <f t="shared" si="38"/>
        <v>0</v>
      </c>
      <c r="E55" s="220" t="str">
        <f t="shared" si="28"/>
        <v>-</v>
      </c>
      <c r="F55" s="937"/>
      <c r="G55" s="642">
        <v>0</v>
      </c>
      <c r="H55" s="642">
        <v>0</v>
      </c>
      <c r="I55" s="451">
        <f t="shared" si="29"/>
        <v>0</v>
      </c>
      <c r="J55" s="221" t="str">
        <f t="shared" si="30"/>
        <v>-</v>
      </c>
      <c r="K55" s="937"/>
      <c r="L55" s="642">
        <v>0</v>
      </c>
      <c r="M55" s="642">
        <v>0</v>
      </c>
      <c r="N55" s="451">
        <f t="shared" si="31"/>
        <v>0</v>
      </c>
      <c r="O55" s="220" t="str">
        <f t="shared" si="32"/>
        <v>-</v>
      </c>
      <c r="P55" s="937"/>
      <c r="Q55" s="642">
        <v>0</v>
      </c>
      <c r="R55" s="642">
        <v>1</v>
      </c>
      <c r="S55" s="451">
        <f t="shared" si="33"/>
        <v>1</v>
      </c>
      <c r="T55" s="221" t="str">
        <f t="shared" si="34"/>
        <v>-</v>
      </c>
      <c r="U55" s="256"/>
      <c r="V55" s="450">
        <f t="shared" si="39"/>
        <v>0</v>
      </c>
      <c r="W55" s="451">
        <f t="shared" si="40"/>
        <v>1</v>
      </c>
      <c r="X55" s="451">
        <f t="shared" si="41"/>
        <v>1</v>
      </c>
      <c r="Y55" s="220" t="str">
        <f t="shared" si="35"/>
        <v>-</v>
      </c>
      <c r="Z55" s="256"/>
      <c r="AA55" s="450">
        <v>0</v>
      </c>
      <c r="AB55" s="451">
        <f t="shared" si="36"/>
        <v>-1</v>
      </c>
      <c r="AC55" s="220" t="str">
        <f t="shared" si="37"/>
        <v>-</v>
      </c>
      <c r="AD55" s="542"/>
      <c r="AE55" s="525"/>
    </row>
    <row r="56" spans="1:31" x14ac:dyDescent="0.3">
      <c r="A56" s="523" t="s">
        <v>91</v>
      </c>
      <c r="B56" s="642">
        <v>0</v>
      </c>
      <c r="C56" s="642">
        <v>811.07</v>
      </c>
      <c r="D56" s="451">
        <f t="shared" si="38"/>
        <v>811.07</v>
      </c>
      <c r="E56" s="220" t="str">
        <f t="shared" si="28"/>
        <v>-</v>
      </c>
      <c r="F56" s="937"/>
      <c r="G56" s="642">
        <v>0</v>
      </c>
      <c r="H56" s="642">
        <v>1754.2599999999998</v>
      </c>
      <c r="I56" s="451">
        <f t="shared" si="29"/>
        <v>1754.2599999999998</v>
      </c>
      <c r="J56" s="295" t="str">
        <f t="shared" si="30"/>
        <v>-</v>
      </c>
      <c r="K56" s="937"/>
      <c r="L56" s="642">
        <v>0</v>
      </c>
      <c r="M56" s="642">
        <v>4735.3599999999997</v>
      </c>
      <c r="N56" s="451">
        <f t="shared" si="31"/>
        <v>4735.3599999999997</v>
      </c>
      <c r="O56" s="294" t="str">
        <f t="shared" si="32"/>
        <v>-</v>
      </c>
      <c r="P56" s="937"/>
      <c r="Q56" s="642">
        <v>0</v>
      </c>
      <c r="R56" s="642">
        <v>2393.23</v>
      </c>
      <c r="S56" s="451">
        <f t="shared" si="33"/>
        <v>2393.23</v>
      </c>
      <c r="T56" s="295" t="str">
        <f t="shared" si="34"/>
        <v>-</v>
      </c>
      <c r="U56" s="256"/>
      <c r="V56" s="450">
        <f t="shared" si="39"/>
        <v>0</v>
      </c>
      <c r="W56" s="451">
        <f t="shared" si="40"/>
        <v>9693.92</v>
      </c>
      <c r="X56" s="451">
        <f t="shared" si="41"/>
        <v>9693.92</v>
      </c>
      <c r="Y56" s="294" t="str">
        <f t="shared" si="35"/>
        <v>-</v>
      </c>
      <c r="Z56" s="256"/>
      <c r="AA56" s="450">
        <v>0</v>
      </c>
      <c r="AB56" s="451">
        <f t="shared" si="36"/>
        <v>-9693.92</v>
      </c>
      <c r="AC56" s="294" t="str">
        <f t="shared" si="37"/>
        <v>-</v>
      </c>
      <c r="AD56" s="542"/>
      <c r="AE56" s="522"/>
    </row>
    <row r="57" spans="1:31" x14ac:dyDescent="0.3">
      <c r="A57" s="523" t="s">
        <v>92</v>
      </c>
      <c r="B57" s="642">
        <v>31426.74</v>
      </c>
      <c r="C57" s="642">
        <v>35614.68</v>
      </c>
      <c r="D57" s="451">
        <f t="shared" si="38"/>
        <v>4187.9399999999987</v>
      </c>
      <c r="E57" s="220">
        <f t="shared" si="28"/>
        <v>0.1332604018106873</v>
      </c>
      <c r="F57" s="937"/>
      <c r="G57" s="642">
        <v>1426.74</v>
      </c>
      <c r="H57" s="642">
        <v>0</v>
      </c>
      <c r="I57" s="451">
        <f t="shared" si="29"/>
        <v>-1426.74</v>
      </c>
      <c r="J57" s="295">
        <f t="shared" si="30"/>
        <v>-1</v>
      </c>
      <c r="K57" s="937"/>
      <c r="L57" s="642">
        <v>1426.7400000000002</v>
      </c>
      <c r="M57" s="642">
        <v>5008.34</v>
      </c>
      <c r="N57" s="451">
        <f t="shared" si="31"/>
        <v>3581.6</v>
      </c>
      <c r="O57" s="222">
        <f t="shared" si="32"/>
        <v>2.5103382536411676</v>
      </c>
      <c r="P57" s="937"/>
      <c r="Q57" s="642">
        <v>1426.7799999999997</v>
      </c>
      <c r="R57" s="642">
        <v>11001.2</v>
      </c>
      <c r="S57" s="451">
        <f t="shared" si="33"/>
        <v>9574.4200000000019</v>
      </c>
      <c r="T57" s="295">
        <f t="shared" si="34"/>
        <v>6.7105089782587388</v>
      </c>
      <c r="U57" s="256"/>
      <c r="V57" s="450">
        <f t="shared" si="39"/>
        <v>35707</v>
      </c>
      <c r="W57" s="451">
        <f t="shared" si="40"/>
        <v>51624.22</v>
      </c>
      <c r="X57" s="451">
        <f t="shared" si="41"/>
        <v>15917.220000000001</v>
      </c>
      <c r="Y57" s="294">
        <f t="shared" si="35"/>
        <v>0.44577309771193324</v>
      </c>
      <c r="Z57" s="256"/>
      <c r="AA57" s="450">
        <v>45707</v>
      </c>
      <c r="AB57" s="451">
        <f t="shared" si="36"/>
        <v>-5917.2200000000012</v>
      </c>
      <c r="AC57" s="222">
        <f t="shared" si="37"/>
        <v>-0.12945982015883784</v>
      </c>
      <c r="AD57" s="542"/>
      <c r="AE57" s="522"/>
    </row>
    <row r="58" spans="1:31" x14ac:dyDescent="0.3">
      <c r="A58" s="523" t="s">
        <v>93</v>
      </c>
      <c r="B58" s="642">
        <v>0</v>
      </c>
      <c r="C58" s="642">
        <v>0</v>
      </c>
      <c r="D58" s="451">
        <f t="shared" si="38"/>
        <v>0</v>
      </c>
      <c r="E58" s="220" t="str">
        <f t="shared" si="28"/>
        <v>-</v>
      </c>
      <c r="F58" s="937"/>
      <c r="G58" s="642">
        <v>0</v>
      </c>
      <c r="H58" s="642">
        <v>0</v>
      </c>
      <c r="I58" s="451">
        <f t="shared" si="29"/>
        <v>0</v>
      </c>
      <c r="J58" s="221" t="str">
        <f t="shared" si="30"/>
        <v>-</v>
      </c>
      <c r="K58" s="937"/>
      <c r="L58" s="642">
        <v>0</v>
      </c>
      <c r="M58" s="642">
        <v>0</v>
      </c>
      <c r="N58" s="451">
        <f t="shared" si="31"/>
        <v>0</v>
      </c>
      <c r="O58" s="220" t="str">
        <f t="shared" si="32"/>
        <v>-</v>
      </c>
      <c r="P58" s="937"/>
      <c r="Q58" s="642">
        <v>0</v>
      </c>
      <c r="R58" s="642">
        <v>0</v>
      </c>
      <c r="S58" s="451">
        <f t="shared" si="33"/>
        <v>0</v>
      </c>
      <c r="T58" s="221" t="str">
        <f t="shared" si="34"/>
        <v>-</v>
      </c>
      <c r="U58" s="256"/>
      <c r="V58" s="450">
        <f t="shared" si="39"/>
        <v>0</v>
      </c>
      <c r="W58" s="451">
        <f t="shared" si="40"/>
        <v>0</v>
      </c>
      <c r="X58" s="451">
        <f t="shared" si="41"/>
        <v>0</v>
      </c>
      <c r="Y58" s="220" t="str">
        <f t="shared" si="35"/>
        <v>-</v>
      </c>
      <c r="Z58" s="256"/>
      <c r="AA58" s="450">
        <v>0</v>
      </c>
      <c r="AB58" s="451">
        <f t="shared" si="36"/>
        <v>0</v>
      </c>
      <c r="AC58" s="220" t="str">
        <f t="shared" si="37"/>
        <v>-</v>
      </c>
      <c r="AD58" s="542"/>
      <c r="AE58" s="525"/>
    </row>
    <row r="59" spans="1:31" x14ac:dyDescent="0.3">
      <c r="A59" s="523" t="s">
        <v>94</v>
      </c>
      <c r="B59" s="642">
        <v>0</v>
      </c>
      <c r="C59" s="642">
        <v>0</v>
      </c>
      <c r="D59" s="451">
        <f t="shared" si="38"/>
        <v>0</v>
      </c>
      <c r="E59" s="220" t="str">
        <f t="shared" si="28"/>
        <v>-</v>
      </c>
      <c r="F59" s="937"/>
      <c r="G59" s="642">
        <v>0</v>
      </c>
      <c r="H59" s="642">
        <v>0</v>
      </c>
      <c r="I59" s="451">
        <f t="shared" si="29"/>
        <v>0</v>
      </c>
      <c r="J59" s="221" t="str">
        <f t="shared" si="30"/>
        <v>-</v>
      </c>
      <c r="K59" s="937"/>
      <c r="L59" s="642">
        <v>0</v>
      </c>
      <c r="M59" s="642">
        <v>0</v>
      </c>
      <c r="N59" s="451">
        <f t="shared" si="31"/>
        <v>0</v>
      </c>
      <c r="O59" s="220" t="str">
        <f t="shared" si="32"/>
        <v>-</v>
      </c>
      <c r="P59" s="937"/>
      <c r="Q59" s="642">
        <v>0</v>
      </c>
      <c r="R59" s="642">
        <v>0</v>
      </c>
      <c r="S59" s="451">
        <f t="shared" si="33"/>
        <v>0</v>
      </c>
      <c r="T59" s="221" t="str">
        <f t="shared" si="34"/>
        <v>-</v>
      </c>
      <c r="U59" s="256"/>
      <c r="V59" s="450">
        <f t="shared" si="39"/>
        <v>0</v>
      </c>
      <c r="W59" s="451">
        <f t="shared" si="40"/>
        <v>0</v>
      </c>
      <c r="X59" s="451">
        <f t="shared" si="41"/>
        <v>0</v>
      </c>
      <c r="Y59" s="220" t="str">
        <f t="shared" si="35"/>
        <v>-</v>
      </c>
      <c r="Z59" s="256"/>
      <c r="AA59" s="450">
        <v>0</v>
      </c>
      <c r="AB59" s="451">
        <f t="shared" si="36"/>
        <v>0</v>
      </c>
      <c r="AC59" s="220" t="str">
        <f t="shared" si="37"/>
        <v>-</v>
      </c>
      <c r="AD59" s="542"/>
      <c r="AE59" s="525"/>
    </row>
    <row r="60" spans="1:31" x14ac:dyDescent="0.3">
      <c r="A60" s="523" t="s">
        <v>95</v>
      </c>
      <c r="B60" s="642">
        <v>0</v>
      </c>
      <c r="C60" s="642">
        <v>0</v>
      </c>
      <c r="D60" s="451">
        <f t="shared" si="38"/>
        <v>0</v>
      </c>
      <c r="E60" s="220" t="str">
        <f t="shared" si="28"/>
        <v>-</v>
      </c>
      <c r="F60" s="935"/>
      <c r="G60" s="642">
        <v>0</v>
      </c>
      <c r="H60" s="642">
        <v>0</v>
      </c>
      <c r="I60" s="451">
        <f t="shared" si="29"/>
        <v>0</v>
      </c>
      <c r="J60" s="221" t="str">
        <f t="shared" si="30"/>
        <v>-</v>
      </c>
      <c r="K60" s="935"/>
      <c r="L60" s="642">
        <v>0</v>
      </c>
      <c r="M60" s="642">
        <v>0</v>
      </c>
      <c r="N60" s="451">
        <f t="shared" si="31"/>
        <v>0</v>
      </c>
      <c r="O60" s="220" t="str">
        <f t="shared" si="32"/>
        <v>-</v>
      </c>
      <c r="P60" s="935"/>
      <c r="Q60" s="642">
        <v>0</v>
      </c>
      <c r="R60" s="642">
        <v>0</v>
      </c>
      <c r="S60" s="451">
        <f t="shared" si="33"/>
        <v>0</v>
      </c>
      <c r="T60" s="221" t="str">
        <f t="shared" si="34"/>
        <v>-</v>
      </c>
      <c r="U60" s="191"/>
      <c r="V60" s="450">
        <f t="shared" si="39"/>
        <v>0</v>
      </c>
      <c r="W60" s="451">
        <f t="shared" si="40"/>
        <v>0</v>
      </c>
      <c r="X60" s="451">
        <f t="shared" si="41"/>
        <v>0</v>
      </c>
      <c r="Y60" s="220" t="str">
        <f t="shared" si="35"/>
        <v>-</v>
      </c>
      <c r="Z60" s="191"/>
      <c r="AA60" s="450">
        <v>0</v>
      </c>
      <c r="AB60" s="451">
        <f t="shared" si="36"/>
        <v>0</v>
      </c>
      <c r="AC60" s="220" t="str">
        <f t="shared" si="37"/>
        <v>-</v>
      </c>
      <c r="AD60" s="524"/>
      <c r="AE60" s="525"/>
    </row>
    <row r="61" spans="1:31" x14ac:dyDescent="0.3">
      <c r="A61" s="523" t="s">
        <v>96</v>
      </c>
      <c r="B61" s="642">
        <v>1450</v>
      </c>
      <c r="C61" s="642">
        <v>80.650000000000006</v>
      </c>
      <c r="D61" s="451">
        <f t="shared" si="38"/>
        <v>-1369.35</v>
      </c>
      <c r="E61" s="220">
        <f t="shared" si="28"/>
        <v>-0.94437931034482747</v>
      </c>
      <c r="F61" s="935"/>
      <c r="G61" s="642">
        <v>8950</v>
      </c>
      <c r="H61" s="642">
        <v>1394.07</v>
      </c>
      <c r="I61" s="451">
        <f t="shared" si="29"/>
        <v>-7555.93</v>
      </c>
      <c r="J61" s="221">
        <f t="shared" si="30"/>
        <v>-0.84423798882681567</v>
      </c>
      <c r="K61" s="935"/>
      <c r="L61" s="642">
        <v>16450</v>
      </c>
      <c r="M61" s="642">
        <v>5605.1</v>
      </c>
      <c r="N61" s="451">
        <f t="shared" si="31"/>
        <v>-10844.9</v>
      </c>
      <c r="O61" s="220">
        <f t="shared" si="32"/>
        <v>-0.65926443768996956</v>
      </c>
      <c r="P61" s="935"/>
      <c r="Q61" s="642">
        <v>0</v>
      </c>
      <c r="R61" s="642">
        <v>0</v>
      </c>
      <c r="S61" s="451">
        <f t="shared" si="33"/>
        <v>0</v>
      </c>
      <c r="T61" s="221" t="str">
        <f t="shared" si="34"/>
        <v>-</v>
      </c>
      <c r="U61" s="191"/>
      <c r="V61" s="450">
        <f t="shared" si="39"/>
        <v>26850</v>
      </c>
      <c r="W61" s="451">
        <f t="shared" si="40"/>
        <v>7079.8200000000006</v>
      </c>
      <c r="X61" s="451">
        <f t="shared" si="41"/>
        <v>-19770.18</v>
      </c>
      <c r="Y61" s="220">
        <f t="shared" si="35"/>
        <v>-0.73631955307262575</v>
      </c>
      <c r="Z61" s="191"/>
      <c r="AA61" s="450">
        <v>35800</v>
      </c>
      <c r="AB61" s="451">
        <f t="shared" si="36"/>
        <v>28720.18</v>
      </c>
      <c r="AC61" s="220">
        <f t="shared" si="37"/>
        <v>0.80223966480446929</v>
      </c>
      <c r="AD61" s="524"/>
      <c r="AE61" s="525"/>
    </row>
    <row r="62" spans="1:31" x14ac:dyDescent="0.3">
      <c r="A62" s="523" t="s">
        <v>110</v>
      </c>
      <c r="B62" s="642">
        <v>142049.77000000002</v>
      </c>
      <c r="C62" s="642">
        <v>146482.78</v>
      </c>
      <c r="D62" s="451">
        <f t="shared" si="38"/>
        <v>4433.0099999999802</v>
      </c>
      <c r="E62" s="220">
        <f t="shared" si="28"/>
        <v>3.1207442292937045E-2</v>
      </c>
      <c r="F62" s="935"/>
      <c r="G62" s="642">
        <v>205133.51000000004</v>
      </c>
      <c r="H62" s="642">
        <v>86193.87</v>
      </c>
      <c r="I62" s="451">
        <f t="shared" si="29"/>
        <v>-118939.64000000004</v>
      </c>
      <c r="J62" s="221">
        <f t="shared" si="30"/>
        <v>-0.57981575023992926</v>
      </c>
      <c r="K62" s="935"/>
      <c r="L62" s="642">
        <v>126675.05999999998</v>
      </c>
      <c r="M62" s="642">
        <v>94540.739999999991</v>
      </c>
      <c r="N62" s="451">
        <f t="shared" si="31"/>
        <v>-32134.319999999992</v>
      </c>
      <c r="O62" s="220">
        <f t="shared" si="32"/>
        <v>-0.25367519068078592</v>
      </c>
      <c r="P62" s="935"/>
      <c r="Q62" s="642">
        <v>263409.68000000005</v>
      </c>
      <c r="R62" s="642">
        <v>322550.26</v>
      </c>
      <c r="S62" s="451">
        <f t="shared" si="33"/>
        <v>59140.579999999958</v>
      </c>
      <c r="T62" s="221">
        <f t="shared" si="34"/>
        <v>0.2245193874424051</v>
      </c>
      <c r="U62" s="191"/>
      <c r="V62" s="450">
        <f t="shared" si="39"/>
        <v>737268.02</v>
      </c>
      <c r="W62" s="451">
        <f t="shared" si="40"/>
        <v>649767.65</v>
      </c>
      <c r="X62" s="451">
        <f t="shared" si="41"/>
        <v>-87500.37</v>
      </c>
      <c r="Y62" s="220">
        <f t="shared" si="35"/>
        <v>-0.11868190078283877</v>
      </c>
      <c r="Z62" s="191"/>
      <c r="AA62" s="450">
        <v>696618</v>
      </c>
      <c r="AB62" s="451">
        <f t="shared" si="36"/>
        <v>46850.349999999977</v>
      </c>
      <c r="AC62" s="220">
        <f t="shared" si="37"/>
        <v>6.7254004346715093E-2</v>
      </c>
      <c r="AD62" s="524"/>
      <c r="AE62" s="525"/>
    </row>
    <row r="63" spans="1:31" x14ac:dyDescent="0.3">
      <c r="A63" s="523" t="s">
        <v>124</v>
      </c>
      <c r="B63" s="642">
        <v>0</v>
      </c>
      <c r="C63" s="642">
        <v>0</v>
      </c>
      <c r="D63" s="451">
        <f t="shared" si="38"/>
        <v>0</v>
      </c>
      <c r="E63" s="220" t="str">
        <f t="shared" si="28"/>
        <v>-</v>
      </c>
      <c r="F63" s="935"/>
      <c r="G63" s="642">
        <v>0</v>
      </c>
      <c r="H63" s="642">
        <v>0</v>
      </c>
      <c r="I63" s="451">
        <f t="shared" si="29"/>
        <v>0</v>
      </c>
      <c r="J63" s="221" t="str">
        <f t="shared" si="30"/>
        <v>-</v>
      </c>
      <c r="K63" s="935"/>
      <c r="L63" s="642">
        <v>0</v>
      </c>
      <c r="M63" s="642">
        <v>0</v>
      </c>
      <c r="N63" s="451">
        <f t="shared" si="31"/>
        <v>0</v>
      </c>
      <c r="O63" s="220" t="str">
        <f t="shared" si="32"/>
        <v>-</v>
      </c>
      <c r="P63" s="935"/>
      <c r="Q63" s="642">
        <v>0</v>
      </c>
      <c r="R63" s="642">
        <v>0</v>
      </c>
      <c r="S63" s="451">
        <f t="shared" si="33"/>
        <v>0</v>
      </c>
      <c r="T63" s="221" t="str">
        <f t="shared" si="34"/>
        <v>-</v>
      </c>
      <c r="U63" s="191"/>
      <c r="V63" s="450">
        <f t="shared" si="39"/>
        <v>0</v>
      </c>
      <c r="W63" s="451">
        <f t="shared" si="40"/>
        <v>0</v>
      </c>
      <c r="X63" s="451">
        <f t="shared" si="41"/>
        <v>0</v>
      </c>
      <c r="Y63" s="220" t="str">
        <f t="shared" si="35"/>
        <v>-</v>
      </c>
      <c r="Z63" s="191"/>
      <c r="AA63" s="450">
        <v>0</v>
      </c>
      <c r="AB63" s="451">
        <f t="shared" si="36"/>
        <v>0</v>
      </c>
      <c r="AC63" s="220" t="str">
        <f t="shared" si="37"/>
        <v>-</v>
      </c>
      <c r="AD63" s="524"/>
      <c r="AE63" s="525"/>
    </row>
    <row r="64" spans="1:31" x14ac:dyDescent="0.3">
      <c r="A64" s="523" t="s">
        <v>123</v>
      </c>
      <c r="B64" s="642">
        <v>0</v>
      </c>
      <c r="C64" s="642">
        <v>0</v>
      </c>
      <c r="D64" s="451">
        <f t="shared" si="38"/>
        <v>0</v>
      </c>
      <c r="E64" s="220" t="str">
        <f t="shared" si="28"/>
        <v>-</v>
      </c>
      <c r="F64" s="937"/>
      <c r="G64" s="642">
        <v>0</v>
      </c>
      <c r="H64" s="642">
        <v>0</v>
      </c>
      <c r="I64" s="451">
        <f t="shared" si="29"/>
        <v>0</v>
      </c>
      <c r="J64" s="221" t="str">
        <f t="shared" si="30"/>
        <v>-</v>
      </c>
      <c r="K64" s="937"/>
      <c r="L64" s="642">
        <v>0</v>
      </c>
      <c r="M64" s="642">
        <v>0</v>
      </c>
      <c r="N64" s="451">
        <f t="shared" si="31"/>
        <v>0</v>
      </c>
      <c r="O64" s="220" t="str">
        <f t="shared" si="32"/>
        <v>-</v>
      </c>
      <c r="P64" s="937"/>
      <c r="Q64" s="642">
        <v>0</v>
      </c>
      <c r="R64" s="642">
        <v>0</v>
      </c>
      <c r="S64" s="451">
        <f t="shared" si="33"/>
        <v>0</v>
      </c>
      <c r="T64" s="221" t="str">
        <f t="shared" si="34"/>
        <v>-</v>
      </c>
      <c r="U64" s="256"/>
      <c r="V64" s="450">
        <f t="shared" si="39"/>
        <v>0</v>
      </c>
      <c r="W64" s="451">
        <f t="shared" si="40"/>
        <v>0</v>
      </c>
      <c r="X64" s="451">
        <f t="shared" si="41"/>
        <v>0</v>
      </c>
      <c r="Y64" s="220" t="str">
        <f t="shared" si="35"/>
        <v>-</v>
      </c>
      <c r="Z64" s="256"/>
      <c r="AA64" s="450">
        <v>0</v>
      </c>
      <c r="AB64" s="451">
        <f t="shared" si="36"/>
        <v>0</v>
      </c>
      <c r="AC64" s="220" t="str">
        <f t="shared" si="37"/>
        <v>-</v>
      </c>
      <c r="AD64" s="542"/>
      <c r="AE64" s="525"/>
    </row>
    <row r="65" spans="1:31" x14ac:dyDescent="0.3">
      <c r="A65" s="523" t="s">
        <v>122</v>
      </c>
      <c r="B65" s="642">
        <v>0</v>
      </c>
      <c r="C65" s="642">
        <v>0</v>
      </c>
      <c r="D65" s="451">
        <f t="shared" si="38"/>
        <v>0</v>
      </c>
      <c r="E65" s="220" t="str">
        <f t="shared" si="28"/>
        <v>-</v>
      </c>
      <c r="F65" s="937"/>
      <c r="G65" s="642">
        <v>0</v>
      </c>
      <c r="H65" s="642">
        <v>0</v>
      </c>
      <c r="I65" s="451">
        <f t="shared" si="29"/>
        <v>0</v>
      </c>
      <c r="J65" s="295" t="str">
        <f t="shared" si="30"/>
        <v>-</v>
      </c>
      <c r="K65" s="937"/>
      <c r="L65" s="642">
        <v>0</v>
      </c>
      <c r="M65" s="642">
        <v>0</v>
      </c>
      <c r="N65" s="451">
        <f t="shared" si="31"/>
        <v>0</v>
      </c>
      <c r="O65" s="294" t="str">
        <f t="shared" si="32"/>
        <v>-</v>
      </c>
      <c r="P65" s="937"/>
      <c r="Q65" s="642">
        <v>0</v>
      </c>
      <c r="R65" s="642">
        <v>0</v>
      </c>
      <c r="S65" s="451">
        <f t="shared" si="33"/>
        <v>0</v>
      </c>
      <c r="T65" s="295" t="str">
        <f t="shared" si="34"/>
        <v>-</v>
      </c>
      <c r="U65" s="256"/>
      <c r="V65" s="450">
        <f t="shared" si="39"/>
        <v>0</v>
      </c>
      <c r="W65" s="451">
        <f t="shared" si="40"/>
        <v>0</v>
      </c>
      <c r="X65" s="451">
        <f t="shared" si="41"/>
        <v>0</v>
      </c>
      <c r="Y65" s="294" t="str">
        <f t="shared" si="35"/>
        <v>-</v>
      </c>
      <c r="Z65" s="256"/>
      <c r="AA65" s="450">
        <v>0</v>
      </c>
      <c r="AB65" s="451">
        <f t="shared" si="36"/>
        <v>0</v>
      </c>
      <c r="AC65" s="220" t="str">
        <f t="shared" si="37"/>
        <v>-</v>
      </c>
      <c r="AD65" s="542"/>
      <c r="AE65" s="522"/>
    </row>
    <row r="66" spans="1:31" x14ac:dyDescent="0.3">
      <c r="A66" s="523" t="s">
        <v>114</v>
      </c>
      <c r="B66" s="642">
        <v>0</v>
      </c>
      <c r="C66" s="642">
        <v>0</v>
      </c>
      <c r="D66" s="451">
        <f t="shared" si="38"/>
        <v>0</v>
      </c>
      <c r="E66" s="220" t="str">
        <f t="shared" si="28"/>
        <v>-</v>
      </c>
      <c r="F66" s="937"/>
      <c r="G66" s="642">
        <v>0</v>
      </c>
      <c r="H66" s="642">
        <v>0</v>
      </c>
      <c r="I66" s="451">
        <f t="shared" si="29"/>
        <v>0</v>
      </c>
      <c r="J66" s="221" t="str">
        <f t="shared" si="30"/>
        <v>-</v>
      </c>
      <c r="K66" s="937"/>
      <c r="L66" s="642">
        <v>0</v>
      </c>
      <c r="M66" s="642">
        <v>1</v>
      </c>
      <c r="N66" s="451">
        <f t="shared" si="31"/>
        <v>1</v>
      </c>
      <c r="O66" s="220" t="str">
        <f t="shared" si="32"/>
        <v>-</v>
      </c>
      <c r="P66" s="937"/>
      <c r="Q66" s="642">
        <v>0</v>
      </c>
      <c r="R66" s="642">
        <v>1</v>
      </c>
      <c r="S66" s="451">
        <f t="shared" si="33"/>
        <v>1</v>
      </c>
      <c r="T66" s="221" t="str">
        <f t="shared" si="34"/>
        <v>-</v>
      </c>
      <c r="U66" s="256"/>
      <c r="V66" s="450">
        <f t="shared" si="39"/>
        <v>0</v>
      </c>
      <c r="W66" s="451">
        <f t="shared" si="40"/>
        <v>2</v>
      </c>
      <c r="X66" s="451">
        <f t="shared" si="41"/>
        <v>2</v>
      </c>
      <c r="Y66" s="220" t="str">
        <f t="shared" si="35"/>
        <v>-</v>
      </c>
      <c r="Z66" s="256"/>
      <c r="AA66" s="450">
        <v>0</v>
      </c>
      <c r="AB66" s="451">
        <f t="shared" si="36"/>
        <v>-2</v>
      </c>
      <c r="AC66" s="220" t="str">
        <f t="shared" si="37"/>
        <v>-</v>
      </c>
      <c r="AD66" s="542"/>
      <c r="AE66" s="525"/>
    </row>
    <row r="67" spans="1:31" x14ac:dyDescent="0.3">
      <c r="A67" s="523" t="s">
        <v>115</v>
      </c>
      <c r="B67" s="642">
        <v>0</v>
      </c>
      <c r="C67" s="642">
        <v>0</v>
      </c>
      <c r="D67" s="451">
        <f t="shared" si="38"/>
        <v>0</v>
      </c>
      <c r="E67" s="220" t="str">
        <f t="shared" si="28"/>
        <v>-</v>
      </c>
      <c r="F67" s="935"/>
      <c r="G67" s="642">
        <v>600</v>
      </c>
      <c r="H67" s="642">
        <v>0</v>
      </c>
      <c r="I67" s="451">
        <f t="shared" si="29"/>
        <v>-600</v>
      </c>
      <c r="J67" s="295">
        <f t="shared" si="30"/>
        <v>-1</v>
      </c>
      <c r="K67" s="935"/>
      <c r="L67" s="642">
        <v>1200</v>
      </c>
      <c r="M67" s="642">
        <v>0</v>
      </c>
      <c r="N67" s="451">
        <f t="shared" si="31"/>
        <v>-1200</v>
      </c>
      <c r="O67" s="294">
        <f t="shared" si="32"/>
        <v>-1</v>
      </c>
      <c r="P67" s="935"/>
      <c r="Q67" s="642">
        <v>600</v>
      </c>
      <c r="R67" s="642">
        <v>0</v>
      </c>
      <c r="S67" s="451">
        <f t="shared" si="33"/>
        <v>-600</v>
      </c>
      <c r="T67" s="295">
        <f t="shared" si="34"/>
        <v>-1</v>
      </c>
      <c r="U67" s="191"/>
      <c r="V67" s="450">
        <f t="shared" si="39"/>
        <v>2400</v>
      </c>
      <c r="W67" s="451">
        <f t="shared" si="40"/>
        <v>0</v>
      </c>
      <c r="X67" s="451">
        <f t="shared" si="41"/>
        <v>-2400</v>
      </c>
      <c r="Y67" s="294">
        <f t="shared" si="35"/>
        <v>-1</v>
      </c>
      <c r="Z67" s="191"/>
      <c r="AA67" s="450">
        <v>2400</v>
      </c>
      <c r="AB67" s="451">
        <f t="shared" si="36"/>
        <v>2400</v>
      </c>
      <c r="AC67" s="220">
        <f t="shared" si="37"/>
        <v>1</v>
      </c>
      <c r="AD67" s="524"/>
      <c r="AE67" s="522"/>
    </row>
    <row r="68" spans="1:31" x14ac:dyDescent="0.3">
      <c r="A68" s="523" t="s">
        <v>121</v>
      </c>
      <c r="B68" s="642">
        <v>0</v>
      </c>
      <c r="C68" s="642">
        <v>0</v>
      </c>
      <c r="D68" s="451">
        <f t="shared" si="38"/>
        <v>0</v>
      </c>
      <c r="E68" s="220" t="str">
        <f t="shared" si="28"/>
        <v>-</v>
      </c>
      <c r="F68" s="937"/>
      <c r="G68" s="642">
        <v>0</v>
      </c>
      <c r="H68" s="642">
        <v>0</v>
      </c>
      <c r="I68" s="451">
        <f t="shared" si="29"/>
        <v>0</v>
      </c>
      <c r="J68" s="295" t="str">
        <f t="shared" si="30"/>
        <v>-</v>
      </c>
      <c r="K68" s="937"/>
      <c r="L68" s="642">
        <v>0</v>
      </c>
      <c r="M68" s="642">
        <v>0</v>
      </c>
      <c r="N68" s="451">
        <f t="shared" si="31"/>
        <v>0</v>
      </c>
      <c r="O68" s="294" t="str">
        <f t="shared" si="32"/>
        <v>-</v>
      </c>
      <c r="P68" s="937"/>
      <c r="Q68" s="642">
        <v>0</v>
      </c>
      <c r="R68" s="642">
        <v>0</v>
      </c>
      <c r="S68" s="451">
        <f t="shared" si="33"/>
        <v>0</v>
      </c>
      <c r="T68" s="295" t="str">
        <f t="shared" si="34"/>
        <v>-</v>
      </c>
      <c r="U68" s="256"/>
      <c r="V68" s="450">
        <f t="shared" si="39"/>
        <v>0</v>
      </c>
      <c r="W68" s="451">
        <f t="shared" si="40"/>
        <v>0</v>
      </c>
      <c r="X68" s="451">
        <f t="shared" si="41"/>
        <v>0</v>
      </c>
      <c r="Y68" s="294" t="str">
        <f t="shared" si="35"/>
        <v>-</v>
      </c>
      <c r="Z68" s="256"/>
      <c r="AA68" s="450">
        <v>0</v>
      </c>
      <c r="AB68" s="451">
        <f t="shared" si="36"/>
        <v>0</v>
      </c>
      <c r="AC68" s="220" t="str">
        <f t="shared" si="37"/>
        <v>-</v>
      </c>
      <c r="AD68" s="542"/>
      <c r="AE68" s="522"/>
    </row>
    <row r="69" spans="1:31" x14ac:dyDescent="0.3">
      <c r="A69" s="523" t="s">
        <v>97</v>
      </c>
      <c r="B69" s="642">
        <v>0</v>
      </c>
      <c r="C69" s="642">
        <v>1344.1</v>
      </c>
      <c r="D69" s="451">
        <f t="shared" si="38"/>
        <v>1344.1</v>
      </c>
      <c r="E69" s="220" t="str">
        <f t="shared" si="28"/>
        <v>-</v>
      </c>
      <c r="F69" s="937"/>
      <c r="G69" s="642">
        <v>1172.5</v>
      </c>
      <c r="H69" s="642">
        <v>0</v>
      </c>
      <c r="I69" s="451">
        <f t="shared" si="29"/>
        <v>-1172.5</v>
      </c>
      <c r="J69" s="221">
        <f t="shared" si="30"/>
        <v>-1</v>
      </c>
      <c r="K69" s="937"/>
      <c r="L69" s="642">
        <v>1000</v>
      </c>
      <c r="M69" s="642">
        <v>0</v>
      </c>
      <c r="N69" s="451">
        <f t="shared" si="31"/>
        <v>-1000</v>
      </c>
      <c r="O69" s="220">
        <f t="shared" si="32"/>
        <v>-1</v>
      </c>
      <c r="P69" s="937"/>
      <c r="Q69" s="642">
        <v>0</v>
      </c>
      <c r="R69" s="642">
        <v>0</v>
      </c>
      <c r="S69" s="451">
        <f t="shared" si="33"/>
        <v>0</v>
      </c>
      <c r="T69" s="221" t="str">
        <f t="shared" si="34"/>
        <v>-</v>
      </c>
      <c r="U69" s="256"/>
      <c r="V69" s="450">
        <f t="shared" si="39"/>
        <v>2172.5</v>
      </c>
      <c r="W69" s="451">
        <f t="shared" si="40"/>
        <v>1344.1</v>
      </c>
      <c r="X69" s="451">
        <f t="shared" si="41"/>
        <v>-828.40000000000009</v>
      </c>
      <c r="Y69" s="220">
        <f t="shared" si="35"/>
        <v>-0.38131185270425783</v>
      </c>
      <c r="Z69" s="256"/>
      <c r="AA69" s="450">
        <v>3845</v>
      </c>
      <c r="AB69" s="451">
        <f t="shared" si="36"/>
        <v>2500.9</v>
      </c>
      <c r="AC69" s="220">
        <f t="shared" si="37"/>
        <v>0.65042912873862158</v>
      </c>
      <c r="AD69" s="542"/>
      <c r="AE69" s="525"/>
    </row>
    <row r="70" spans="1:31" x14ac:dyDescent="0.3">
      <c r="A70" s="523" t="s">
        <v>98</v>
      </c>
      <c r="B70" s="642">
        <v>0</v>
      </c>
      <c r="C70" s="642">
        <v>0</v>
      </c>
      <c r="D70" s="451">
        <f t="shared" si="38"/>
        <v>0</v>
      </c>
      <c r="E70" s="220" t="str">
        <f t="shared" si="28"/>
        <v>-</v>
      </c>
      <c r="F70" s="935"/>
      <c r="G70" s="642">
        <v>0</v>
      </c>
      <c r="H70" s="642">
        <v>0</v>
      </c>
      <c r="I70" s="451">
        <f t="shared" si="29"/>
        <v>0</v>
      </c>
      <c r="J70" s="221" t="str">
        <f t="shared" si="30"/>
        <v>-</v>
      </c>
      <c r="K70" s="935"/>
      <c r="L70" s="642">
        <v>0</v>
      </c>
      <c r="M70" s="642">
        <v>0</v>
      </c>
      <c r="N70" s="451">
        <f t="shared" si="31"/>
        <v>0</v>
      </c>
      <c r="O70" s="220" t="str">
        <f t="shared" si="32"/>
        <v>-</v>
      </c>
      <c r="P70" s="935"/>
      <c r="Q70" s="642">
        <v>0</v>
      </c>
      <c r="R70" s="642">
        <v>0</v>
      </c>
      <c r="S70" s="451">
        <f t="shared" si="33"/>
        <v>0</v>
      </c>
      <c r="T70" s="221" t="str">
        <f t="shared" si="34"/>
        <v>-</v>
      </c>
      <c r="U70" s="191"/>
      <c r="V70" s="450">
        <f t="shared" si="39"/>
        <v>0</v>
      </c>
      <c r="W70" s="451">
        <f t="shared" si="40"/>
        <v>0</v>
      </c>
      <c r="X70" s="451">
        <f t="shared" si="41"/>
        <v>0</v>
      </c>
      <c r="Y70" s="220" t="str">
        <f t="shared" si="35"/>
        <v>-</v>
      </c>
      <c r="Z70" s="191"/>
      <c r="AA70" s="450">
        <v>0</v>
      </c>
      <c r="AB70" s="451">
        <f t="shared" si="36"/>
        <v>0</v>
      </c>
      <c r="AC70" s="220" t="str">
        <f t="shared" si="37"/>
        <v>-</v>
      </c>
      <c r="AD70" s="524"/>
      <c r="AE70" s="525"/>
    </row>
    <row r="71" spans="1:31" x14ac:dyDescent="0.3">
      <c r="A71" s="523" t="s">
        <v>116</v>
      </c>
      <c r="B71" s="642">
        <v>0</v>
      </c>
      <c r="C71" s="642">
        <v>0</v>
      </c>
      <c r="D71" s="451">
        <f t="shared" si="38"/>
        <v>0</v>
      </c>
      <c r="E71" s="220" t="str">
        <f t="shared" si="28"/>
        <v>-</v>
      </c>
      <c r="F71" s="937"/>
      <c r="G71" s="642">
        <v>0</v>
      </c>
      <c r="H71" s="642">
        <v>0</v>
      </c>
      <c r="I71" s="451">
        <f t="shared" si="29"/>
        <v>0</v>
      </c>
      <c r="J71" s="221" t="str">
        <f t="shared" si="30"/>
        <v>-</v>
      </c>
      <c r="K71" s="937"/>
      <c r="L71" s="642">
        <v>0</v>
      </c>
      <c r="M71" s="642">
        <v>0</v>
      </c>
      <c r="N71" s="451">
        <f t="shared" si="31"/>
        <v>0</v>
      </c>
      <c r="O71" s="220" t="str">
        <f t="shared" si="32"/>
        <v>-</v>
      </c>
      <c r="P71" s="937"/>
      <c r="Q71" s="642">
        <v>0</v>
      </c>
      <c r="R71" s="642">
        <v>0</v>
      </c>
      <c r="S71" s="451">
        <f t="shared" si="33"/>
        <v>0</v>
      </c>
      <c r="T71" s="221" t="str">
        <f t="shared" si="34"/>
        <v>-</v>
      </c>
      <c r="U71" s="256"/>
      <c r="V71" s="450">
        <f t="shared" si="39"/>
        <v>0</v>
      </c>
      <c r="W71" s="451">
        <f t="shared" si="40"/>
        <v>0</v>
      </c>
      <c r="X71" s="451">
        <f t="shared" si="41"/>
        <v>0</v>
      </c>
      <c r="Y71" s="220" t="str">
        <f t="shared" si="35"/>
        <v>-</v>
      </c>
      <c r="Z71" s="256"/>
      <c r="AA71" s="450">
        <v>0</v>
      </c>
      <c r="AB71" s="451">
        <f t="shared" si="36"/>
        <v>0</v>
      </c>
      <c r="AC71" s="220" t="str">
        <f t="shared" si="37"/>
        <v>-</v>
      </c>
      <c r="AD71" s="542"/>
      <c r="AE71" s="525"/>
    </row>
    <row r="72" spans="1:31" x14ac:dyDescent="0.3">
      <c r="A72" s="523" t="s">
        <v>99</v>
      </c>
      <c r="B72" s="642">
        <v>0</v>
      </c>
      <c r="C72" s="642">
        <v>2286.62</v>
      </c>
      <c r="D72" s="451">
        <f t="shared" si="38"/>
        <v>2286.62</v>
      </c>
      <c r="E72" s="220" t="str">
        <f t="shared" si="28"/>
        <v>-</v>
      </c>
      <c r="F72" s="935"/>
      <c r="G72" s="642">
        <v>3333.34</v>
      </c>
      <c r="H72" s="642">
        <v>4462.41</v>
      </c>
      <c r="I72" s="451">
        <f t="shared" si="29"/>
        <v>1129.0699999999997</v>
      </c>
      <c r="J72" s="221">
        <f t="shared" si="30"/>
        <v>0.3387203225593548</v>
      </c>
      <c r="K72" s="935"/>
      <c r="L72" s="642">
        <v>3333.34</v>
      </c>
      <c r="M72" s="642">
        <v>672.05</v>
      </c>
      <c r="N72" s="451">
        <f t="shared" si="31"/>
        <v>-2661.29</v>
      </c>
      <c r="O72" s="220">
        <f t="shared" si="32"/>
        <v>-0.79838540322919349</v>
      </c>
      <c r="P72" s="935"/>
      <c r="Q72" s="642">
        <v>0</v>
      </c>
      <c r="R72" s="642">
        <v>0</v>
      </c>
      <c r="S72" s="451">
        <f t="shared" si="33"/>
        <v>0</v>
      </c>
      <c r="T72" s="221" t="str">
        <f t="shared" si="34"/>
        <v>-</v>
      </c>
      <c r="U72" s="191"/>
      <c r="V72" s="450">
        <f t="shared" si="39"/>
        <v>6666.68</v>
      </c>
      <c r="W72" s="451">
        <f t="shared" si="40"/>
        <v>7421.08</v>
      </c>
      <c r="X72" s="451">
        <f t="shared" si="41"/>
        <v>754.39999999999964</v>
      </c>
      <c r="Y72" s="220">
        <f t="shared" si="35"/>
        <v>0.11315977368045257</v>
      </c>
      <c r="Z72" s="191"/>
      <c r="AA72" s="450">
        <v>10000</v>
      </c>
      <c r="AB72" s="451">
        <f t="shared" si="36"/>
        <v>2578.92</v>
      </c>
      <c r="AC72" s="220">
        <f t="shared" si="37"/>
        <v>0.25789200000000001</v>
      </c>
      <c r="AD72" s="524"/>
      <c r="AE72" s="525"/>
    </row>
    <row r="73" spans="1:31" x14ac:dyDescent="0.3">
      <c r="A73" s="523" t="s">
        <v>100</v>
      </c>
      <c r="B73" s="642">
        <v>0</v>
      </c>
      <c r="C73" s="642">
        <v>0</v>
      </c>
      <c r="D73" s="451">
        <f t="shared" si="38"/>
        <v>0</v>
      </c>
      <c r="E73" s="220" t="str">
        <f t="shared" si="28"/>
        <v>-</v>
      </c>
      <c r="F73" s="937"/>
      <c r="G73" s="642">
        <v>0</v>
      </c>
      <c r="H73" s="642">
        <v>0</v>
      </c>
      <c r="I73" s="451">
        <f t="shared" si="29"/>
        <v>0</v>
      </c>
      <c r="J73" s="221" t="str">
        <f t="shared" si="30"/>
        <v>-</v>
      </c>
      <c r="K73" s="937"/>
      <c r="L73" s="642">
        <v>0</v>
      </c>
      <c r="M73" s="642">
        <v>0</v>
      </c>
      <c r="N73" s="451">
        <f t="shared" si="31"/>
        <v>0</v>
      </c>
      <c r="O73" s="220"/>
      <c r="P73" s="937"/>
      <c r="Q73" s="642">
        <v>0</v>
      </c>
      <c r="R73" s="642">
        <v>0</v>
      </c>
      <c r="S73" s="451">
        <f t="shared" si="33"/>
        <v>0</v>
      </c>
      <c r="T73" s="221"/>
      <c r="U73" s="256"/>
      <c r="V73" s="450">
        <f t="shared" si="39"/>
        <v>0</v>
      </c>
      <c r="W73" s="451">
        <f t="shared" si="40"/>
        <v>0</v>
      </c>
      <c r="X73" s="451">
        <f t="shared" si="41"/>
        <v>0</v>
      </c>
      <c r="Y73" s="220" t="str">
        <f t="shared" si="35"/>
        <v>-</v>
      </c>
      <c r="Z73" s="256"/>
      <c r="AA73" s="450">
        <v>0</v>
      </c>
      <c r="AB73" s="451">
        <f t="shared" si="36"/>
        <v>0</v>
      </c>
      <c r="AC73" s="220" t="str">
        <f t="shared" si="37"/>
        <v>-</v>
      </c>
      <c r="AD73" s="542"/>
      <c r="AE73" s="522"/>
    </row>
    <row r="74" spans="1:31" x14ac:dyDescent="0.3">
      <c r="A74" s="548" t="s">
        <v>101</v>
      </c>
      <c r="B74" s="642">
        <v>0</v>
      </c>
      <c r="C74" s="642">
        <v>0</v>
      </c>
      <c r="D74" s="451">
        <f t="shared" si="38"/>
        <v>0</v>
      </c>
      <c r="E74" s="220" t="str">
        <f t="shared" si="28"/>
        <v>-</v>
      </c>
      <c r="F74" s="935"/>
      <c r="G74" s="642">
        <v>0</v>
      </c>
      <c r="H74" s="642">
        <v>0</v>
      </c>
      <c r="I74" s="451">
        <f t="shared" si="29"/>
        <v>0</v>
      </c>
      <c r="J74" s="295" t="str">
        <f t="shared" si="30"/>
        <v>-</v>
      </c>
      <c r="K74" s="935"/>
      <c r="L74" s="642">
        <v>34999.11</v>
      </c>
      <c r="M74" s="642">
        <v>23189.25</v>
      </c>
      <c r="N74" s="451">
        <f t="shared" si="31"/>
        <v>-11809.86</v>
      </c>
      <c r="O74" s="222">
        <f>IF(ISERROR(N74/L74),"-",N74/L74)</f>
        <v>-0.33743315187157619</v>
      </c>
      <c r="P74" s="935"/>
      <c r="Q74" s="642">
        <v>35002.07</v>
      </c>
      <c r="R74" s="642">
        <v>15843.6</v>
      </c>
      <c r="S74" s="451">
        <f t="shared" si="33"/>
        <v>-19158.47</v>
      </c>
      <c r="T74" s="295">
        <f>IF(ISERROR(S74/Q74),"-",S74/Q74)</f>
        <v>-0.54735248515302104</v>
      </c>
      <c r="U74" s="191"/>
      <c r="V74" s="450">
        <f t="shared" si="39"/>
        <v>70001.179999999993</v>
      </c>
      <c r="W74" s="451">
        <f t="shared" si="40"/>
        <v>39032.85</v>
      </c>
      <c r="X74" s="451">
        <f t="shared" si="41"/>
        <v>-30968.329999999994</v>
      </c>
      <c r="Y74" s="294">
        <f t="shared" si="35"/>
        <v>-0.4423972567319579</v>
      </c>
      <c r="Z74" s="191"/>
      <c r="AA74" s="450">
        <v>0</v>
      </c>
      <c r="AB74" s="451">
        <f t="shared" si="36"/>
        <v>-39032.85</v>
      </c>
      <c r="AC74" s="222" t="str">
        <f t="shared" si="37"/>
        <v>-</v>
      </c>
      <c r="AD74" s="524"/>
      <c r="AE74" s="522"/>
    </row>
    <row r="75" spans="1:31" x14ac:dyDescent="0.3">
      <c r="A75" s="549" t="s">
        <v>120</v>
      </c>
      <c r="B75" s="642">
        <v>0</v>
      </c>
      <c r="C75" s="642">
        <v>0</v>
      </c>
      <c r="D75" s="451">
        <f t="shared" si="38"/>
        <v>0</v>
      </c>
      <c r="E75" s="220" t="str">
        <f t="shared" si="28"/>
        <v>-</v>
      </c>
      <c r="F75" s="935"/>
      <c r="G75" s="642">
        <v>0</v>
      </c>
      <c r="H75" s="642">
        <v>0</v>
      </c>
      <c r="I75" s="451">
        <f t="shared" si="29"/>
        <v>0</v>
      </c>
      <c r="J75" s="295" t="str">
        <f t="shared" si="30"/>
        <v>-</v>
      </c>
      <c r="K75" s="935"/>
      <c r="L75" s="642">
        <v>0</v>
      </c>
      <c r="M75" s="642">
        <v>0</v>
      </c>
      <c r="N75" s="451">
        <f t="shared" si="31"/>
        <v>0</v>
      </c>
      <c r="O75" s="294" t="str">
        <f>IF(ISERROR(N75/L75),"-",N75/L75)</f>
        <v>-</v>
      </c>
      <c r="P75" s="935"/>
      <c r="Q75" s="642">
        <v>0</v>
      </c>
      <c r="R75" s="642">
        <v>0</v>
      </c>
      <c r="S75" s="451">
        <f t="shared" si="33"/>
        <v>0</v>
      </c>
      <c r="T75" s="295" t="str">
        <f>IF(ISERROR(S75/Q75),"-",S75/Q75)</f>
        <v>-</v>
      </c>
      <c r="U75" s="191"/>
      <c r="V75" s="450">
        <f t="shared" si="39"/>
        <v>0</v>
      </c>
      <c r="W75" s="451">
        <f t="shared" si="40"/>
        <v>0</v>
      </c>
      <c r="X75" s="451">
        <f t="shared" si="41"/>
        <v>0</v>
      </c>
      <c r="Y75" s="294" t="str">
        <f t="shared" si="35"/>
        <v>-</v>
      </c>
      <c r="Z75" s="191"/>
      <c r="AA75" s="450">
        <v>0</v>
      </c>
      <c r="AB75" s="451">
        <f t="shared" si="36"/>
        <v>0</v>
      </c>
      <c r="AC75" s="294" t="str">
        <f t="shared" si="37"/>
        <v>-</v>
      </c>
      <c r="AD75" s="524"/>
      <c r="AE75" s="522"/>
    </row>
    <row r="76" spans="1:31" x14ac:dyDescent="0.3">
      <c r="A76" s="199" t="s">
        <v>102</v>
      </c>
      <c r="B76" s="469">
        <f>SUM(B43:B75)</f>
        <v>381485.75</v>
      </c>
      <c r="C76" s="470">
        <f>SUM(C43:C75)</f>
        <v>374963.66</v>
      </c>
      <c r="D76" s="470">
        <f>SUM(D43:D75)</f>
        <v>-6522.0900000000247</v>
      </c>
      <c r="E76" s="237">
        <f t="shared" si="28"/>
        <v>-1.7096549477929449E-2</v>
      </c>
      <c r="F76" s="936"/>
      <c r="G76" s="640">
        <f>SUM(G43:G75)</f>
        <v>437510.81000000006</v>
      </c>
      <c r="H76" s="470">
        <f>SUM(H43:H75)</f>
        <v>304630.07</v>
      </c>
      <c r="I76" s="470">
        <f>SUM(I43:I75)</f>
        <v>-132880.74000000005</v>
      </c>
      <c r="J76" s="237">
        <f>IF(ISERROR(I76/G76),"-",I76/G76)</f>
        <v>-0.303719901229412</v>
      </c>
      <c r="K76" s="936"/>
      <c r="L76" s="640">
        <f>SUM(L43:L75)</f>
        <v>385302.72</v>
      </c>
      <c r="M76" s="470">
        <f>SUM(M43:M75)</f>
        <v>323451.05</v>
      </c>
      <c r="N76" s="470">
        <f>SUM(N43:N75)</f>
        <v>-61851.670000000006</v>
      </c>
      <c r="O76" s="237">
        <f>IF(ISERROR(N76/L76),"-",N76/L76)</f>
        <v>-0.16052746785696195</v>
      </c>
      <c r="P76" s="936"/>
      <c r="Q76" s="640">
        <f>SUM(Q43:Q75)</f>
        <v>456308.49000000005</v>
      </c>
      <c r="R76" s="470">
        <f>SUM(R43:R75)</f>
        <v>565125.38</v>
      </c>
      <c r="S76" s="470">
        <f>SUM(S43:S75)</f>
        <v>108816.88999999996</v>
      </c>
      <c r="T76" s="237">
        <f>IF(ISERROR(S76/Q76),"-",S76/Q76)</f>
        <v>0.23847220111990453</v>
      </c>
      <c r="U76" s="203"/>
      <c r="V76" s="469">
        <f>SUM(V43:V75)</f>
        <v>1660607.7699999998</v>
      </c>
      <c r="W76" s="470">
        <f>SUM(W43:W75)</f>
        <v>1568170.1600000001</v>
      </c>
      <c r="X76" s="470">
        <f>SUM(X43:X75)</f>
        <v>-92437.609999999957</v>
      </c>
      <c r="Y76" s="237">
        <f t="shared" si="35"/>
        <v>-5.5664926823749579E-2</v>
      </c>
      <c r="Z76" s="203"/>
      <c r="AA76" s="469">
        <f>SUM(AA43:AA75)</f>
        <v>1658106</v>
      </c>
      <c r="AB76" s="470">
        <f>SUM(AB43:AB75)</f>
        <v>89935.839999999967</v>
      </c>
      <c r="AC76" s="237">
        <f t="shared" si="37"/>
        <v>5.4240102864352442E-2</v>
      </c>
      <c r="AD76" s="529"/>
      <c r="AE76" s="530"/>
    </row>
    <row r="77" spans="1:31" x14ac:dyDescent="0.3">
      <c r="A77" s="277"/>
      <c r="B77" s="486"/>
      <c r="C77" s="487"/>
      <c r="D77" s="487"/>
      <c r="E77" s="280"/>
      <c r="F77" s="933"/>
      <c r="G77" s="944"/>
      <c r="H77" s="489"/>
      <c r="I77" s="489"/>
      <c r="J77" s="292"/>
      <c r="K77" s="933"/>
      <c r="L77" s="906"/>
      <c r="M77" s="487"/>
      <c r="N77" s="487"/>
      <c r="O77" s="284"/>
      <c r="P77" s="933"/>
      <c r="Q77" s="944"/>
      <c r="R77" s="489"/>
      <c r="S77" s="489"/>
      <c r="T77" s="285"/>
      <c r="U77" s="175"/>
      <c r="V77" s="490"/>
      <c r="W77" s="491"/>
      <c r="X77" s="487"/>
      <c r="Y77" s="284"/>
      <c r="Z77" s="175"/>
      <c r="AA77" s="490"/>
      <c r="AB77" s="487"/>
      <c r="AC77" s="284"/>
      <c r="AD77" s="518"/>
      <c r="AE77" s="522"/>
    </row>
    <row r="78" spans="1:31" ht="19.5" thickBot="1" x14ac:dyDescent="0.35">
      <c r="A78" s="199" t="s">
        <v>103</v>
      </c>
      <c r="B78" s="469">
        <f>B41+B76+B77</f>
        <v>1010178.2</v>
      </c>
      <c r="C78" s="470">
        <f>C41+C76+C77</f>
        <v>828887.97</v>
      </c>
      <c r="D78" s="470">
        <f>D41+D76+D77</f>
        <v>-181290.22999999995</v>
      </c>
      <c r="E78" s="237">
        <f>IF(ISERROR(D78/B78),"-",D78/B78)</f>
        <v>-0.17946361344958736</v>
      </c>
      <c r="F78" s="937"/>
      <c r="G78" s="640">
        <f>G41+G76+G77</f>
        <v>1105212.26</v>
      </c>
      <c r="H78" s="470">
        <f>H41+H76+H77</f>
        <v>774218.31999999983</v>
      </c>
      <c r="I78" s="470">
        <f>I41+I76+I77</f>
        <v>-330993.94000000012</v>
      </c>
      <c r="J78" s="237">
        <f>IF(ISERROR(I78/G78),"-",I78/G78)</f>
        <v>-0.29948449902283941</v>
      </c>
      <c r="K78" s="937"/>
      <c r="L78" s="640">
        <f>L41+L76+L77</f>
        <v>1014013.1699999999</v>
      </c>
      <c r="M78" s="470">
        <f>M41+M76+M77</f>
        <v>813323.69</v>
      </c>
      <c r="N78" s="470">
        <f>N41+N76+N77</f>
        <v>-200689.48000000004</v>
      </c>
      <c r="O78" s="237">
        <f>IF(ISERROR(N78/L78),"-",N78/L78)</f>
        <v>-0.19791604876295646</v>
      </c>
      <c r="P78" s="937"/>
      <c r="Q78" s="640">
        <f>Q41+Q76+Q77</f>
        <v>1085027.94</v>
      </c>
      <c r="R78" s="470">
        <f>R41+R76+R77</f>
        <v>1276584.77</v>
      </c>
      <c r="S78" s="470">
        <f>S41+S76+S77</f>
        <v>191556.8299999999</v>
      </c>
      <c r="T78" s="237">
        <f>IF(ISERROR(S78/Q78),"-",S78/Q78)</f>
        <v>0.17654552748199268</v>
      </c>
      <c r="U78" s="256"/>
      <c r="V78" s="469">
        <f>V41+V76</f>
        <v>4214431.5699999994</v>
      </c>
      <c r="W78" s="470">
        <f>W41+W76+W77</f>
        <v>3693014.75</v>
      </c>
      <c r="X78" s="470">
        <f>X41+X76+X77</f>
        <v>-521416.82000000007</v>
      </c>
      <c r="Y78" s="237">
        <f>IF(ISERROR(X78/V78),"-",X78/V78)</f>
        <v>-0.12372174309618703</v>
      </c>
      <c r="Z78" s="256"/>
      <c r="AA78" s="469">
        <f>AA41+AA76</f>
        <v>4211930</v>
      </c>
      <c r="AB78" s="470">
        <f>AB41+AB76+AB77</f>
        <v>518915.25000000012</v>
      </c>
      <c r="AC78" s="237">
        <f>IF(ISERROR(AB78/AA78),"-",AB78/AA78)</f>
        <v>0.12320129964173196</v>
      </c>
      <c r="AD78" s="542"/>
      <c r="AE78" s="530"/>
    </row>
    <row r="79" spans="1:31" ht="19.5" thickBot="1" x14ac:dyDescent="0.35">
      <c r="A79" s="288" t="s">
        <v>170</v>
      </c>
      <c r="B79" s="486">
        <f>B25-B78</f>
        <v>303579.94000000018</v>
      </c>
      <c r="C79" s="486">
        <f>C25-C78</f>
        <v>121578.46999999997</v>
      </c>
      <c r="D79" s="486">
        <f>D25-D78</f>
        <v>-182001.47000000012</v>
      </c>
      <c r="E79" s="289"/>
      <c r="F79" s="856">
        <f>F25-F78</f>
        <v>0</v>
      </c>
      <c r="G79" s="906">
        <f>G25-G78</f>
        <v>150884.29000000004</v>
      </c>
      <c r="H79" s="486">
        <f>H25-H78</f>
        <v>798983.44000000018</v>
      </c>
      <c r="I79" s="486">
        <f>I25-I78</f>
        <v>648099.15</v>
      </c>
      <c r="J79" s="290"/>
      <c r="K79" s="856">
        <f>K25-K78</f>
        <v>0</v>
      </c>
      <c r="L79" s="906">
        <f>L25-L78</f>
        <v>415768.37000000011</v>
      </c>
      <c r="M79" s="486">
        <f>M25-M78</f>
        <v>600802.54</v>
      </c>
      <c r="N79" s="486">
        <f>N25-N78</f>
        <v>185034.17000000016</v>
      </c>
      <c r="O79" s="290"/>
      <c r="P79" s="856">
        <f>P25-P78</f>
        <v>0</v>
      </c>
      <c r="Q79" s="906">
        <f>Q25-Q78</f>
        <v>29767.560000000056</v>
      </c>
      <c r="R79" s="486">
        <f>R25-R78</f>
        <v>-10031.930000000168</v>
      </c>
      <c r="S79" s="486">
        <f>S25-S78</f>
        <v>-39799.489999999991</v>
      </c>
      <c r="T79" s="290"/>
      <c r="U79" s="290">
        <f>U25-U78</f>
        <v>0</v>
      </c>
      <c r="V79" s="486">
        <f>V25-V78</f>
        <v>900000.16000000108</v>
      </c>
      <c r="W79" s="486">
        <f>W25-W78</f>
        <v>1511332.5199999996</v>
      </c>
      <c r="X79" s="486">
        <f>X25-X78</f>
        <v>611332.35999999975</v>
      </c>
      <c r="Y79" s="290"/>
      <c r="Z79" s="290">
        <f>Z25-Z78</f>
        <v>0</v>
      </c>
      <c r="AA79" s="486">
        <f>AA25-AA78</f>
        <v>899999.73000000045</v>
      </c>
      <c r="AB79" s="486">
        <f>AB25-AB78</f>
        <v>-611332.7899999998</v>
      </c>
      <c r="AC79" s="290"/>
      <c r="AD79" s="518"/>
      <c r="AE79" s="522"/>
    </row>
    <row r="80" spans="1:31" ht="19.5" thickBot="1" x14ac:dyDescent="0.35">
      <c r="A80" s="291" t="s">
        <v>171</v>
      </c>
      <c r="B80" s="486"/>
      <c r="C80" s="487"/>
      <c r="D80" s="487">
        <f>C80-B80</f>
        <v>0</v>
      </c>
      <c r="E80" s="280"/>
      <c r="F80" s="933"/>
      <c r="G80" s="944"/>
      <c r="H80" s="489"/>
      <c r="I80" s="487">
        <f>H80-G80</f>
        <v>0</v>
      </c>
      <c r="J80" s="292"/>
      <c r="K80" s="933"/>
      <c r="L80" s="906"/>
      <c r="M80" s="487"/>
      <c r="N80" s="487">
        <f>M80-L80</f>
        <v>0</v>
      </c>
      <c r="O80" s="284"/>
      <c r="P80" s="933"/>
      <c r="Q80" s="944"/>
      <c r="R80" s="489"/>
      <c r="S80" s="487">
        <f>R80-Q80</f>
        <v>0</v>
      </c>
      <c r="T80" s="292"/>
      <c r="U80" s="175"/>
      <c r="V80" s="450">
        <f t="shared" ref="V80:W80" si="42">B80+G80+L80+Q80</f>
        <v>0</v>
      </c>
      <c r="W80" s="451">
        <f t="shared" si="42"/>
        <v>0</v>
      </c>
      <c r="X80" s="487"/>
      <c r="Y80" s="284"/>
      <c r="Z80" s="175"/>
      <c r="AA80" s="490"/>
      <c r="AB80" s="487"/>
      <c r="AC80" s="284"/>
      <c r="AD80" s="518"/>
      <c r="AE80" s="522"/>
    </row>
    <row r="81" spans="1:31" ht="19.5" thickBot="1" x14ac:dyDescent="0.35">
      <c r="A81" s="293" t="s">
        <v>172</v>
      </c>
      <c r="B81" s="486">
        <f>B79-B80</f>
        <v>303579.94000000018</v>
      </c>
      <c r="C81" s="486">
        <f t="shared" ref="C81:Z81" si="43">C79-C80</f>
        <v>121578.46999999997</v>
      </c>
      <c r="D81" s="486">
        <f>D79-D80</f>
        <v>-182001.47000000012</v>
      </c>
      <c r="E81" s="289">
        <f>E79-E80</f>
        <v>0</v>
      </c>
      <c r="F81" s="856">
        <f t="shared" si="43"/>
        <v>0</v>
      </c>
      <c r="G81" s="906">
        <f t="shared" si="43"/>
        <v>150884.29000000004</v>
      </c>
      <c r="H81" s="486">
        <f t="shared" si="43"/>
        <v>798983.44000000018</v>
      </c>
      <c r="I81" s="486">
        <f t="shared" si="43"/>
        <v>648099.15</v>
      </c>
      <c r="J81" s="290">
        <f>J79-J80</f>
        <v>0</v>
      </c>
      <c r="K81" s="856">
        <f t="shared" si="43"/>
        <v>0</v>
      </c>
      <c r="L81" s="906">
        <f t="shared" si="43"/>
        <v>415768.37000000011</v>
      </c>
      <c r="M81" s="486">
        <f t="shared" si="43"/>
        <v>600802.54</v>
      </c>
      <c r="N81" s="486">
        <f t="shared" si="43"/>
        <v>185034.17000000016</v>
      </c>
      <c r="O81" s="290">
        <f t="shared" si="43"/>
        <v>0</v>
      </c>
      <c r="P81" s="856">
        <f t="shared" si="43"/>
        <v>0</v>
      </c>
      <c r="Q81" s="906">
        <f t="shared" si="43"/>
        <v>29767.560000000056</v>
      </c>
      <c r="R81" s="486">
        <f t="shared" si="43"/>
        <v>-10031.930000000168</v>
      </c>
      <c r="S81" s="486">
        <f t="shared" si="43"/>
        <v>-39799.489999999991</v>
      </c>
      <c r="T81" s="290">
        <f t="shared" si="43"/>
        <v>0</v>
      </c>
      <c r="U81" s="290">
        <f t="shared" si="43"/>
        <v>0</v>
      </c>
      <c r="V81" s="486">
        <f>V79-V80</f>
        <v>900000.16000000108</v>
      </c>
      <c r="W81" s="486">
        <f t="shared" si="43"/>
        <v>1511332.5199999996</v>
      </c>
      <c r="X81" s="486">
        <f t="shared" si="43"/>
        <v>611332.35999999975</v>
      </c>
      <c r="Y81" s="290">
        <f t="shared" si="43"/>
        <v>0</v>
      </c>
      <c r="Z81" s="290">
        <f t="shared" si="43"/>
        <v>0</v>
      </c>
      <c r="AA81" s="486">
        <f>AA79-AA80</f>
        <v>899999.73000000045</v>
      </c>
      <c r="AB81" s="486">
        <f>AB79-AB80</f>
        <v>-611332.7899999998</v>
      </c>
      <c r="AC81" s="290">
        <f>AC79-AC80</f>
        <v>0</v>
      </c>
      <c r="AD81" s="518"/>
      <c r="AE81" s="522"/>
    </row>
    <row r="82" spans="1:31" x14ac:dyDescent="0.3">
      <c r="A82" s="172" t="s">
        <v>104</v>
      </c>
      <c r="B82" s="450"/>
      <c r="C82" s="451"/>
      <c r="D82" s="451">
        <f>B82-C82</f>
        <v>0</v>
      </c>
      <c r="E82" s="220" t="str">
        <f>IF(ISERROR(D82/B82),"-",D82/B82)</f>
        <v>-</v>
      </c>
      <c r="F82" s="937"/>
      <c r="G82" s="681"/>
      <c r="H82" s="464"/>
      <c r="I82" s="464">
        <f>G82-H82</f>
        <v>0</v>
      </c>
      <c r="J82" s="295" t="str">
        <f>IF(ISERROR(I82/G82),"-",I82/G82)</f>
        <v>-</v>
      </c>
      <c r="K82" s="937"/>
      <c r="L82" s="642"/>
      <c r="M82" s="451"/>
      <c r="N82" s="451">
        <f>L82-M82</f>
        <v>0</v>
      </c>
      <c r="O82" s="294" t="str">
        <f>IF(ISERROR(N82/L82),"-",N82/L82)</f>
        <v>-</v>
      </c>
      <c r="P82" s="937"/>
      <c r="Q82" s="681"/>
      <c r="R82" s="464"/>
      <c r="S82" s="464">
        <f>Q82-R82</f>
        <v>0</v>
      </c>
      <c r="T82" s="295" t="str">
        <f>IF(ISERROR(S82/Q82),"-",S82/Q82)</f>
        <v>-</v>
      </c>
      <c r="U82" s="256"/>
      <c r="V82" s="450">
        <f>B82+G82+L82+Q82</f>
        <v>0</v>
      </c>
      <c r="W82" s="451">
        <f>C82+H82+M82+R82</f>
        <v>0</v>
      </c>
      <c r="X82" s="451">
        <f>V82-W82</f>
        <v>0</v>
      </c>
      <c r="Y82" s="294" t="str">
        <f>IF(ISERROR(X82/V82),"-",X82/V82)</f>
        <v>-</v>
      </c>
      <c r="Z82" s="256"/>
      <c r="AA82" s="450">
        <f>G82+L82+Q82+V82</f>
        <v>0</v>
      </c>
      <c r="AB82" s="451">
        <f>AA82-W82</f>
        <v>0</v>
      </c>
      <c r="AC82" s="294" t="str">
        <f>IF(ISERROR(AB82/AA82),"-",AB82/AA82)</f>
        <v>-</v>
      </c>
      <c r="AD82" s="542"/>
      <c r="AE82" s="522"/>
    </row>
    <row r="83" spans="1:31" ht="19.5" thickBot="1" x14ac:dyDescent="0.35">
      <c r="A83" s="296" t="s">
        <v>105</v>
      </c>
      <c r="B83" s="492">
        <f>B81-B82</f>
        <v>303579.94000000018</v>
      </c>
      <c r="C83" s="492">
        <f>C81-C82</f>
        <v>121578.46999999997</v>
      </c>
      <c r="D83" s="493">
        <f>C83-B83</f>
        <v>-182001.4700000002</v>
      </c>
      <c r="E83" s="299">
        <f>IF(ISERROR(D83/B83),"-",D83/B83)</f>
        <v>-0.59951744505911719</v>
      </c>
      <c r="F83" s="951"/>
      <c r="G83" s="945">
        <f>G81-G82</f>
        <v>150884.29000000004</v>
      </c>
      <c r="H83" s="492">
        <f>H81-H82</f>
        <v>798983.44000000018</v>
      </c>
      <c r="I83" s="493">
        <f>H83-G83</f>
        <v>648099.15000000014</v>
      </c>
      <c r="J83" s="299">
        <f>IF(ISERROR(I83/G83),"-",I83/G83)</f>
        <v>4.2953388321607235</v>
      </c>
      <c r="K83" s="951"/>
      <c r="L83" s="945">
        <f>L81-L82</f>
        <v>415768.37000000011</v>
      </c>
      <c r="M83" s="492">
        <f>M81-M82</f>
        <v>600802.54</v>
      </c>
      <c r="N83" s="493">
        <f>M83-L83</f>
        <v>185034.16999999993</v>
      </c>
      <c r="O83" s="299">
        <f>IF(ISERROR(N83/L83),"-",N83/L83)</f>
        <v>0.44504147826348567</v>
      </c>
      <c r="P83" s="951"/>
      <c r="Q83" s="945">
        <f>Q81-Q82</f>
        <v>29767.560000000056</v>
      </c>
      <c r="R83" s="492">
        <f>R81-R82</f>
        <v>-10031.930000000168</v>
      </c>
      <c r="S83" s="493">
        <f>R83-Q83</f>
        <v>-39799.490000000224</v>
      </c>
      <c r="T83" s="299">
        <f>IF(ISERROR(S83/Q83),"-",S83/Q83)</f>
        <v>-1.3370088109337865</v>
      </c>
      <c r="U83" s="300"/>
      <c r="V83" s="494">
        <f>V81-V82</f>
        <v>900000.16000000108</v>
      </c>
      <c r="W83" s="494">
        <f>W81-W82</f>
        <v>1511332.5199999996</v>
      </c>
      <c r="X83" s="493">
        <f>W83-V83</f>
        <v>611332.35999999847</v>
      </c>
      <c r="Y83" s="303">
        <f>IF(ISERROR(X83/V83),"-",X83/V83)</f>
        <v>0.67925805702078734</v>
      </c>
      <c r="Z83" s="300"/>
      <c r="AA83" s="494">
        <f>AA81-AA82</f>
        <v>899999.73000000045</v>
      </c>
      <c r="AB83" s="494">
        <f>AB81-AB82</f>
        <v>-611332.7899999998</v>
      </c>
      <c r="AC83" s="303">
        <f>IF(ISERROR(AB83/AA83),"-",AB83/AA83)</f>
        <v>-0.67925885933321284</v>
      </c>
      <c r="AD83" s="550"/>
      <c r="AE83" s="522"/>
    </row>
  </sheetData>
  <sheetProtection algorithmName="SHA-512" hashValue="3Ib69E4/LjDIrK1GcVJ2EAUqrVzGT9oI4TcLaezHq1N+7CpZEbFCdER+PpD46U/Wvc33mRCVJvmdB7lTLgxIJw==" saltValue="iZum9A8q0XMjGulo435qTw==" spinCount="100000" sheet="1" objects="1" scenarios="1"/>
  <mergeCells count="13">
    <mergeCell ref="AE9:AE11"/>
    <mergeCell ref="D10:E10"/>
    <mergeCell ref="I10:J10"/>
    <mergeCell ref="N10:O10"/>
    <mergeCell ref="S10:T10"/>
    <mergeCell ref="X10:Y10"/>
    <mergeCell ref="AB10:AC10"/>
    <mergeCell ref="B9:E9"/>
    <mergeCell ref="G9:J9"/>
    <mergeCell ref="L9:O9"/>
    <mergeCell ref="Q9:T9"/>
    <mergeCell ref="V9:Y9"/>
    <mergeCell ref="AA9:AC9"/>
  </mergeCells>
  <pageMargins left="0.7" right="0.7" top="0.75" bottom="0.75" header="0.3" footer="0.3"/>
  <pageSetup paperSize="17" scale="42" fitToHeight="0" orientation="landscape" horizontalDpi="300" verticalDpi="30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pageSetUpPr fitToPage="1"/>
  </sheetPr>
  <dimension ref="A1:F72"/>
  <sheetViews>
    <sheetView topLeftCell="A19" zoomScale="80" zoomScaleNormal="80" workbookViewId="0">
      <selection activeCell="E74" sqref="E74"/>
    </sheetView>
  </sheetViews>
  <sheetFormatPr defaultColWidth="8.85546875" defaultRowHeight="15.75" customHeight="1" x14ac:dyDescent="0.3"/>
  <cols>
    <col min="1" max="1" width="64.42578125" style="49" customWidth="1"/>
    <col min="2" max="2" width="16.42578125" style="47" customWidth="1"/>
    <col min="3" max="3" width="16.85546875" style="47" customWidth="1"/>
    <col min="4" max="4" width="18.140625" style="47" customWidth="1"/>
    <col min="5" max="5" width="17" style="47" customWidth="1"/>
    <col min="6" max="6" width="17.42578125" style="47" customWidth="1"/>
    <col min="7" max="231" width="8.85546875" style="49" customWidth="1"/>
    <col min="232" max="16384" width="8.85546875" style="49"/>
  </cols>
  <sheetData>
    <row r="1" spans="1:6" ht="18.75" customHeight="1" x14ac:dyDescent="0.3">
      <c r="A1" s="1418" t="s">
        <v>49</v>
      </c>
      <c r="B1" s="1419"/>
      <c r="C1" s="1419"/>
      <c r="D1" s="1419"/>
      <c r="E1" s="1419"/>
      <c r="F1" s="1419"/>
    </row>
    <row r="2" spans="1:6" ht="18.75" customHeight="1" x14ac:dyDescent="0.3">
      <c r="A2" s="50"/>
      <c r="B2" s="46"/>
      <c r="C2" s="46"/>
      <c r="D2" s="46"/>
      <c r="E2" s="46"/>
      <c r="F2" s="46"/>
    </row>
    <row r="3" spans="1:6" s="52" customFormat="1" ht="18.75" customHeight="1" x14ac:dyDescent="0.3">
      <c r="A3" s="1420" t="s">
        <v>174</v>
      </c>
      <c r="B3" s="1421"/>
      <c r="C3" s="1421"/>
      <c r="D3" s="1421"/>
      <c r="E3" s="1421"/>
      <c r="F3" s="1421"/>
    </row>
    <row r="4" spans="1:6" ht="18.75" customHeight="1" x14ac:dyDescent="0.3">
      <c r="A4" s="1422" t="s">
        <v>0</v>
      </c>
      <c r="B4" s="1423"/>
      <c r="C4" s="1423"/>
      <c r="D4" s="1423"/>
      <c r="E4" s="1423"/>
      <c r="F4" s="1423"/>
    </row>
    <row r="5" spans="1:6" ht="18.75" customHeight="1" x14ac:dyDescent="0.3">
      <c r="A5" s="1422" t="s">
        <v>1</v>
      </c>
      <c r="B5" s="1424"/>
      <c r="C5" s="1424"/>
      <c r="D5" s="1424"/>
      <c r="E5" s="1424"/>
      <c r="F5" s="1424"/>
    </row>
    <row r="6" spans="1:6" ht="18.75" customHeight="1" x14ac:dyDescent="0.3">
      <c r="A6" s="1420" t="s">
        <v>194</v>
      </c>
      <c r="B6" s="1425"/>
      <c r="C6" s="1425"/>
      <c r="D6" s="1425"/>
      <c r="E6" s="1425"/>
      <c r="F6" s="1425"/>
    </row>
    <row r="7" spans="1:6" ht="18.75" customHeight="1" x14ac:dyDescent="0.3">
      <c r="A7" s="1416" t="s">
        <v>2</v>
      </c>
      <c r="B7" s="1417"/>
      <c r="C7" s="1417"/>
      <c r="D7" s="1417"/>
      <c r="E7" s="1417"/>
      <c r="F7" s="1417"/>
    </row>
    <row r="8" spans="1:6" ht="16.5" customHeight="1" thickBot="1" x14ac:dyDescent="0.35">
      <c r="A8" s="309"/>
      <c r="B8" s="310"/>
      <c r="C8" s="311"/>
      <c r="D8" s="310"/>
      <c r="E8" s="311"/>
      <c r="F8" s="310"/>
    </row>
    <row r="9" spans="1:6" ht="17.45" customHeight="1" x14ac:dyDescent="0.3">
      <c r="A9" s="312"/>
      <c r="B9" s="56" t="s">
        <v>164</v>
      </c>
      <c r="C9" s="313" t="s">
        <v>165</v>
      </c>
      <c r="D9" s="56" t="s">
        <v>166</v>
      </c>
      <c r="E9" s="313" t="s">
        <v>167</v>
      </c>
      <c r="F9" s="56" t="s">
        <v>3</v>
      </c>
    </row>
    <row r="10" spans="1:6" ht="15" customHeight="1" x14ac:dyDescent="0.3">
      <c r="A10" s="314"/>
      <c r="B10" s="59">
        <v>44927</v>
      </c>
      <c r="C10" s="315">
        <v>45016</v>
      </c>
      <c r="D10" s="59">
        <v>45107</v>
      </c>
      <c r="E10" s="315">
        <v>45199</v>
      </c>
      <c r="F10" s="59">
        <v>45291</v>
      </c>
    </row>
    <row r="11" spans="1:6" ht="15" customHeight="1" thickBot="1" x14ac:dyDescent="0.35">
      <c r="A11" s="316"/>
      <c r="B11" s="317" t="s">
        <v>107</v>
      </c>
      <c r="C11" s="318" t="s">
        <v>107</v>
      </c>
      <c r="D11" s="317" t="s">
        <v>107</v>
      </c>
      <c r="E11" s="318" t="s">
        <v>107</v>
      </c>
      <c r="F11" s="317" t="s">
        <v>107</v>
      </c>
    </row>
    <row r="12" spans="1:6" ht="15" customHeight="1" x14ac:dyDescent="0.3">
      <c r="A12" s="319" t="s">
        <v>4</v>
      </c>
      <c r="B12" s="320"/>
      <c r="C12" s="321"/>
      <c r="D12" s="320"/>
      <c r="E12" s="321"/>
      <c r="F12" s="320"/>
    </row>
    <row r="13" spans="1:6" ht="15" customHeight="1" x14ac:dyDescent="0.3">
      <c r="A13" s="322" t="s">
        <v>5</v>
      </c>
      <c r="B13" s="66"/>
      <c r="C13" s="323"/>
      <c r="D13" s="66"/>
      <c r="E13" s="323"/>
      <c r="F13" s="66"/>
    </row>
    <row r="14" spans="1:6" ht="15" customHeight="1" x14ac:dyDescent="0.3">
      <c r="A14" s="324" t="s">
        <v>6</v>
      </c>
      <c r="B14" s="954">
        <v>1788278.16</v>
      </c>
      <c r="C14" s="1061">
        <v>1131242.57</v>
      </c>
      <c r="D14" s="954">
        <v>1579963.38</v>
      </c>
      <c r="E14" s="1061">
        <v>869296.92</v>
      </c>
      <c r="F14" s="954">
        <v>565962.43999999994</v>
      </c>
    </row>
    <row r="15" spans="1:6" ht="15" customHeight="1" x14ac:dyDescent="0.3">
      <c r="A15" s="325" t="s">
        <v>7</v>
      </c>
      <c r="B15" s="954">
        <v>0</v>
      </c>
      <c r="C15" s="1061">
        <v>0</v>
      </c>
      <c r="D15" s="954">
        <v>0</v>
      </c>
      <c r="E15" s="1061">
        <v>0</v>
      </c>
      <c r="F15" s="954">
        <v>0</v>
      </c>
    </row>
    <row r="16" spans="1:6" ht="15" customHeight="1" x14ac:dyDescent="0.3">
      <c r="A16" s="325" t="s">
        <v>8</v>
      </c>
      <c r="B16" s="954">
        <v>0</v>
      </c>
      <c r="C16" s="1061">
        <v>0</v>
      </c>
      <c r="D16" s="954">
        <v>0</v>
      </c>
      <c r="E16" s="1061">
        <v>0</v>
      </c>
      <c r="F16" s="954">
        <v>0</v>
      </c>
    </row>
    <row r="17" spans="1:6" ht="15" customHeight="1" x14ac:dyDescent="0.3">
      <c r="A17" s="325" t="s">
        <v>9</v>
      </c>
      <c r="B17" s="954">
        <v>0</v>
      </c>
      <c r="C17" s="1061">
        <v>0</v>
      </c>
      <c r="D17" s="954">
        <v>0</v>
      </c>
      <c r="E17" s="1061">
        <v>0</v>
      </c>
      <c r="F17" s="954">
        <v>0</v>
      </c>
    </row>
    <row r="18" spans="1:6" ht="15" customHeight="1" x14ac:dyDescent="0.3">
      <c r="A18" s="325" t="s">
        <v>10</v>
      </c>
      <c r="B18" s="954">
        <v>0</v>
      </c>
      <c r="C18" s="1061">
        <v>0</v>
      </c>
      <c r="D18" s="954">
        <v>0</v>
      </c>
      <c r="E18" s="1061">
        <v>0</v>
      </c>
      <c r="F18" s="954">
        <v>0</v>
      </c>
    </row>
    <row r="19" spans="1:6" ht="15" customHeight="1" x14ac:dyDescent="0.3">
      <c r="A19" s="326" t="s">
        <v>11</v>
      </c>
      <c r="B19" s="1062">
        <v>0</v>
      </c>
      <c r="C19" s="1063">
        <v>0</v>
      </c>
      <c r="D19" s="1062">
        <v>0</v>
      </c>
      <c r="E19" s="1061">
        <v>0</v>
      </c>
      <c r="F19" s="1062">
        <v>0</v>
      </c>
    </row>
    <row r="20" spans="1:6" ht="15" customHeight="1" x14ac:dyDescent="0.3">
      <c r="A20" s="327" t="s">
        <v>12</v>
      </c>
      <c r="B20" s="1065">
        <f>SUM(B14:B19)</f>
        <v>1788278.16</v>
      </c>
      <c r="C20" s="1066">
        <f>SUM(C14:C19)</f>
        <v>1131242.57</v>
      </c>
      <c r="D20" s="1065">
        <f>SUM(D14:D19)</f>
        <v>1579963.38</v>
      </c>
      <c r="E20" s="1066">
        <f>SUM(E14:E19)</f>
        <v>869296.92</v>
      </c>
      <c r="F20" s="1065">
        <f>SUM(F14:F19)</f>
        <v>565962.43999999994</v>
      </c>
    </row>
    <row r="21" spans="1:6" ht="15" customHeight="1" x14ac:dyDescent="0.3">
      <c r="A21" s="328"/>
      <c r="B21" s="1076"/>
      <c r="C21" s="1077"/>
      <c r="D21" s="1076"/>
      <c r="E21" s="1077"/>
      <c r="F21" s="1076"/>
    </row>
    <row r="22" spans="1:6" ht="15" customHeight="1" x14ac:dyDescent="0.3">
      <c r="A22" s="329" t="s">
        <v>13</v>
      </c>
      <c r="B22" s="1078"/>
      <c r="C22" s="1079"/>
      <c r="D22" s="1078"/>
      <c r="E22" s="1079"/>
      <c r="F22" s="1078"/>
    </row>
    <row r="23" spans="1:6" ht="15" customHeight="1" x14ac:dyDescent="0.3">
      <c r="A23" s="325" t="s">
        <v>14</v>
      </c>
      <c r="B23" s="954">
        <v>0</v>
      </c>
      <c r="C23" s="954">
        <v>0</v>
      </c>
      <c r="D23" s="954">
        <v>0</v>
      </c>
      <c r="E23" s="1080">
        <v>0</v>
      </c>
      <c r="F23" s="1080">
        <v>0</v>
      </c>
    </row>
    <row r="24" spans="1:6" ht="15" customHeight="1" x14ac:dyDescent="0.3">
      <c r="A24" s="325" t="s">
        <v>15</v>
      </c>
      <c r="B24" s="954">
        <v>0</v>
      </c>
      <c r="C24" s="954">
        <v>0</v>
      </c>
      <c r="D24" s="954">
        <v>0</v>
      </c>
      <c r="E24" s="1080">
        <v>0</v>
      </c>
      <c r="F24" s="1080">
        <v>0</v>
      </c>
    </row>
    <row r="25" spans="1:6" ht="15" customHeight="1" x14ac:dyDescent="0.3">
      <c r="A25" s="325" t="s">
        <v>16</v>
      </c>
      <c r="B25" s="954">
        <v>160679.25</v>
      </c>
      <c r="C25" s="954">
        <v>161959.31</v>
      </c>
      <c r="D25" s="954">
        <v>171855.66</v>
      </c>
      <c r="E25" s="954">
        <v>171855.66</v>
      </c>
      <c r="F25" s="954">
        <v>181009.89</v>
      </c>
    </row>
    <row r="26" spans="1:6" ht="15" customHeight="1" x14ac:dyDescent="0.3">
      <c r="A26" s="325" t="s">
        <v>17</v>
      </c>
      <c r="B26" s="954">
        <v>0</v>
      </c>
      <c r="C26" s="954">
        <v>0</v>
      </c>
      <c r="D26" s="954">
        <v>0</v>
      </c>
      <c r="E26" s="1080">
        <v>0</v>
      </c>
      <c r="F26" s="1080">
        <v>0</v>
      </c>
    </row>
    <row r="27" spans="1:6" ht="15" customHeight="1" x14ac:dyDescent="0.3">
      <c r="A27" s="325" t="s">
        <v>119</v>
      </c>
      <c r="B27" s="954">
        <v>0</v>
      </c>
      <c r="C27" s="954">
        <v>0</v>
      </c>
      <c r="D27" s="954">
        <v>0</v>
      </c>
      <c r="E27" s="1080">
        <v>0</v>
      </c>
      <c r="F27" s="1080">
        <v>0</v>
      </c>
    </row>
    <row r="28" spans="1:6" ht="15" customHeight="1" x14ac:dyDescent="0.3">
      <c r="A28" s="325" t="s">
        <v>118</v>
      </c>
      <c r="B28" s="954">
        <v>0</v>
      </c>
      <c r="C28" s="954">
        <v>0</v>
      </c>
      <c r="D28" s="954">
        <v>0</v>
      </c>
      <c r="E28" s="1080">
        <v>0</v>
      </c>
      <c r="F28" s="1080">
        <v>0</v>
      </c>
    </row>
    <row r="29" spans="1:6" ht="15" customHeight="1" x14ac:dyDescent="0.3">
      <c r="A29" s="326" t="s">
        <v>18</v>
      </c>
      <c r="B29" s="954">
        <v>0</v>
      </c>
      <c r="C29" s="954">
        <v>0</v>
      </c>
      <c r="D29" s="954">
        <v>0</v>
      </c>
      <c r="E29" s="1080">
        <v>0</v>
      </c>
      <c r="F29" s="1080">
        <v>0</v>
      </c>
    </row>
    <row r="30" spans="1:6" ht="15" customHeight="1" x14ac:dyDescent="0.3">
      <c r="A30" s="327" t="s">
        <v>19</v>
      </c>
      <c r="B30" s="1065">
        <f>SUM(B23:B29)</f>
        <v>160679.25</v>
      </c>
      <c r="C30" s="1066">
        <f>SUM(C23:C29)</f>
        <v>161959.31</v>
      </c>
      <c r="D30" s="1065">
        <f>SUM(D23:D29)</f>
        <v>171855.66</v>
      </c>
      <c r="E30" s="1066">
        <f>SUM(E23:E29)</f>
        <v>171855.66</v>
      </c>
      <c r="F30" s="1065">
        <f>SUM(F23:F29)</f>
        <v>181009.89</v>
      </c>
    </row>
    <row r="31" spans="1:6" ht="15" customHeight="1" x14ac:dyDescent="0.3">
      <c r="A31" s="328"/>
      <c r="B31" s="1076"/>
      <c r="C31" s="1077"/>
      <c r="D31" s="1076"/>
      <c r="E31" s="1077"/>
      <c r="F31" s="1076"/>
    </row>
    <row r="32" spans="1:6" ht="15" customHeight="1" x14ac:dyDescent="0.3">
      <c r="A32" s="329" t="s">
        <v>20</v>
      </c>
      <c r="B32" s="1081"/>
      <c r="C32" s="1082"/>
      <c r="D32" s="1081"/>
      <c r="E32" s="1082"/>
      <c r="F32" s="1081"/>
    </row>
    <row r="33" spans="1:6" ht="15" customHeight="1" x14ac:dyDescent="0.3">
      <c r="A33" s="306" t="s">
        <v>21</v>
      </c>
      <c r="B33" s="954">
        <v>4853688</v>
      </c>
      <c r="C33" s="954">
        <v>4853688</v>
      </c>
      <c r="D33" s="954">
        <v>4853688</v>
      </c>
      <c r="E33" s="954">
        <v>4853688</v>
      </c>
      <c r="F33" s="954">
        <v>4853688</v>
      </c>
    </row>
    <row r="34" spans="1:6" ht="15" customHeight="1" x14ac:dyDescent="0.3">
      <c r="A34" s="306" t="s">
        <v>22</v>
      </c>
      <c r="B34" s="385">
        <v>0</v>
      </c>
      <c r="C34" s="387">
        <v>0</v>
      </c>
      <c r="D34" s="385">
        <v>0</v>
      </c>
      <c r="E34" s="954">
        <v>0</v>
      </c>
      <c r="F34" s="385">
        <v>0</v>
      </c>
    </row>
    <row r="35" spans="1:6" ht="15" customHeight="1" x14ac:dyDescent="0.3">
      <c r="A35" s="306" t="s">
        <v>23</v>
      </c>
      <c r="B35" s="385">
        <v>0</v>
      </c>
      <c r="C35" s="387">
        <v>0</v>
      </c>
      <c r="D35" s="385">
        <v>0</v>
      </c>
      <c r="E35" s="954">
        <v>0</v>
      </c>
      <c r="F35" s="385">
        <v>0</v>
      </c>
    </row>
    <row r="36" spans="1:6" ht="15" customHeight="1" x14ac:dyDescent="0.3">
      <c r="A36" s="306" t="s">
        <v>24</v>
      </c>
      <c r="B36" s="954">
        <v>8763</v>
      </c>
      <c r="C36" s="954">
        <v>11988.84</v>
      </c>
      <c r="D36" s="954">
        <v>11988.84</v>
      </c>
      <c r="E36" s="954">
        <v>11988.84</v>
      </c>
      <c r="F36" s="954">
        <v>11988.84</v>
      </c>
    </row>
    <row r="37" spans="1:6" ht="15" customHeight="1" x14ac:dyDescent="0.3">
      <c r="A37" s="306" t="s">
        <v>25</v>
      </c>
      <c r="B37" s="954">
        <v>60961</v>
      </c>
      <c r="C37" s="954">
        <v>60961</v>
      </c>
      <c r="D37" s="954">
        <v>60961</v>
      </c>
      <c r="E37" s="954">
        <v>60961</v>
      </c>
      <c r="F37" s="954">
        <v>60961</v>
      </c>
    </row>
    <row r="38" spans="1:6" ht="15" customHeight="1" x14ac:dyDescent="0.3">
      <c r="A38" s="307" t="s">
        <v>26</v>
      </c>
      <c r="B38" s="954">
        <v>398502</v>
      </c>
      <c r="C38" s="954">
        <v>420363.73</v>
      </c>
      <c r="D38" s="954">
        <v>426278.04</v>
      </c>
      <c r="E38" s="954">
        <v>426278.04</v>
      </c>
      <c r="F38" s="954">
        <v>426278.04</v>
      </c>
    </row>
    <row r="39" spans="1:6" ht="15" customHeight="1" x14ac:dyDescent="0.3">
      <c r="A39" s="327" t="s">
        <v>27</v>
      </c>
      <c r="B39" s="1065">
        <f>SUM(B32:B38)</f>
        <v>5321914</v>
      </c>
      <c r="C39" s="1066">
        <f>SUM(C32:C38)</f>
        <v>5347001.57</v>
      </c>
      <c r="D39" s="1065">
        <f>SUM(D32:D38)</f>
        <v>5352915.88</v>
      </c>
      <c r="E39" s="1066">
        <f>SUM(E32:E38)</f>
        <v>5352915.88</v>
      </c>
      <c r="F39" s="1065">
        <f>SUM(F32:F38)</f>
        <v>5352915.88</v>
      </c>
    </row>
    <row r="40" spans="1:6" ht="15" customHeight="1" x14ac:dyDescent="0.3">
      <c r="A40" s="330"/>
      <c r="B40" s="1083"/>
      <c r="C40" s="1084"/>
      <c r="D40" s="1083"/>
      <c r="E40" s="1084"/>
      <c r="F40" s="1083"/>
    </row>
    <row r="41" spans="1:6" ht="15" customHeight="1" x14ac:dyDescent="0.3">
      <c r="A41" s="322" t="s">
        <v>28</v>
      </c>
      <c r="B41" s="1080">
        <v>0</v>
      </c>
      <c r="C41" s="1080">
        <v>0</v>
      </c>
      <c r="D41" s="1080">
        <v>0</v>
      </c>
      <c r="E41" s="1080">
        <v>0</v>
      </c>
      <c r="F41" s="1080">
        <v>0</v>
      </c>
    </row>
    <row r="42" spans="1:6" ht="15" customHeight="1" x14ac:dyDescent="0.3">
      <c r="A42" s="331"/>
      <c r="B42" s="1085"/>
      <c r="C42" s="1086"/>
      <c r="D42" s="1085"/>
      <c r="E42" s="1086"/>
      <c r="F42" s="1085"/>
    </row>
    <row r="43" spans="1:6" ht="15" customHeight="1" x14ac:dyDescent="0.3">
      <c r="A43" s="327" t="s">
        <v>29</v>
      </c>
      <c r="B43" s="1065">
        <f>B20+B30+B39+B41</f>
        <v>7270871.4100000001</v>
      </c>
      <c r="C43" s="1066">
        <f>C20+C30+C39+C41</f>
        <v>6640203.4500000002</v>
      </c>
      <c r="D43" s="1065">
        <f>D20+D30+D39+D41</f>
        <v>7104734.9199999999</v>
      </c>
      <c r="E43" s="1066">
        <f>E20+E30+E39+E41</f>
        <v>6394068.46</v>
      </c>
      <c r="F43" s="1065">
        <f>F20+F30+F39+F41</f>
        <v>6099888.21</v>
      </c>
    </row>
    <row r="44" spans="1:6" ht="15" customHeight="1" x14ac:dyDescent="0.3">
      <c r="A44" s="332"/>
      <c r="B44" s="1087"/>
      <c r="C44" s="1088"/>
      <c r="D44" s="1087"/>
      <c r="E44" s="1088"/>
      <c r="F44" s="1087"/>
    </row>
    <row r="45" spans="1:6" ht="15" customHeight="1" x14ac:dyDescent="0.3">
      <c r="A45" s="322" t="s">
        <v>30</v>
      </c>
      <c r="B45" s="1081"/>
      <c r="C45" s="1082"/>
      <c r="D45" s="1081"/>
      <c r="E45" s="1082"/>
      <c r="F45" s="1081"/>
    </row>
    <row r="46" spans="1:6" ht="15" customHeight="1" x14ac:dyDescent="0.3">
      <c r="A46" s="333"/>
      <c r="B46" s="1081"/>
      <c r="C46" s="1082"/>
      <c r="D46" s="1081"/>
      <c r="E46" s="1082"/>
      <c r="F46" s="1081"/>
    </row>
    <row r="47" spans="1:6" ht="15" customHeight="1" x14ac:dyDescent="0.3">
      <c r="A47" s="322" t="s">
        <v>31</v>
      </c>
      <c r="B47" s="1078"/>
      <c r="C47" s="1079"/>
      <c r="D47" s="1078"/>
      <c r="E47" s="1079"/>
      <c r="F47" s="1078"/>
    </row>
    <row r="48" spans="1:6" ht="15" customHeight="1" x14ac:dyDescent="0.3">
      <c r="A48" s="306" t="s">
        <v>32</v>
      </c>
      <c r="B48" s="385">
        <v>0</v>
      </c>
      <c r="C48" s="387">
        <v>0</v>
      </c>
      <c r="D48" s="385">
        <v>0</v>
      </c>
      <c r="E48" s="387">
        <v>0</v>
      </c>
      <c r="F48" s="385">
        <v>0</v>
      </c>
    </row>
    <row r="49" spans="1:6" ht="15" customHeight="1" x14ac:dyDescent="0.3">
      <c r="A49" s="334" t="s">
        <v>50</v>
      </c>
      <c r="B49" s="385">
        <v>0</v>
      </c>
      <c r="C49" s="387">
        <v>0</v>
      </c>
      <c r="D49" s="385">
        <v>0</v>
      </c>
      <c r="E49" s="387">
        <v>0</v>
      </c>
      <c r="F49" s="385">
        <v>0</v>
      </c>
    </row>
    <row r="50" spans="1:6" ht="15" customHeight="1" x14ac:dyDescent="0.3">
      <c r="A50" s="334" t="s">
        <v>168</v>
      </c>
      <c r="B50" s="385">
        <v>0</v>
      </c>
      <c r="C50" s="387">
        <v>0</v>
      </c>
      <c r="D50" s="385">
        <v>0</v>
      </c>
      <c r="E50" s="387">
        <v>0</v>
      </c>
      <c r="F50" s="385">
        <v>0</v>
      </c>
    </row>
    <row r="51" spans="1:6" ht="15" customHeight="1" x14ac:dyDescent="0.3">
      <c r="A51" s="334" t="s">
        <v>109</v>
      </c>
      <c r="B51" s="385">
        <v>0</v>
      </c>
      <c r="C51" s="387">
        <v>0</v>
      </c>
      <c r="D51" s="385">
        <v>0</v>
      </c>
      <c r="E51" s="387">
        <v>0</v>
      </c>
      <c r="F51" s="385">
        <v>0</v>
      </c>
    </row>
    <row r="52" spans="1:6" ht="15" customHeight="1" x14ac:dyDescent="0.3">
      <c r="A52" s="334" t="s">
        <v>33</v>
      </c>
      <c r="B52" s="385">
        <v>0</v>
      </c>
      <c r="C52" s="387">
        <v>0</v>
      </c>
      <c r="D52" s="385">
        <v>0</v>
      </c>
      <c r="E52" s="387">
        <v>0</v>
      </c>
      <c r="F52" s="385">
        <v>0</v>
      </c>
    </row>
    <row r="53" spans="1:6" ht="15" customHeight="1" x14ac:dyDescent="0.3">
      <c r="A53" s="334" t="s">
        <v>34</v>
      </c>
      <c r="B53" s="385">
        <v>0</v>
      </c>
      <c r="C53" s="387">
        <v>0</v>
      </c>
      <c r="D53" s="385">
        <v>0</v>
      </c>
      <c r="E53" s="387">
        <v>0</v>
      </c>
      <c r="F53" s="385">
        <v>0</v>
      </c>
    </row>
    <row r="54" spans="1:6" ht="15" customHeight="1" x14ac:dyDescent="0.3">
      <c r="A54" s="306" t="s">
        <v>35</v>
      </c>
      <c r="B54" s="385">
        <v>0</v>
      </c>
      <c r="C54" s="387">
        <v>0</v>
      </c>
      <c r="D54" s="385">
        <v>0</v>
      </c>
      <c r="E54" s="387">
        <v>0</v>
      </c>
      <c r="F54" s="385">
        <v>0</v>
      </c>
    </row>
    <row r="55" spans="1:6" ht="15" customHeight="1" x14ac:dyDescent="0.3">
      <c r="A55" s="306" t="s">
        <v>36</v>
      </c>
      <c r="B55" s="385">
        <v>0</v>
      </c>
      <c r="C55" s="387">
        <v>0</v>
      </c>
      <c r="D55" s="385">
        <v>0</v>
      </c>
      <c r="E55" s="387">
        <v>0</v>
      </c>
      <c r="F55" s="385">
        <v>0</v>
      </c>
    </row>
    <row r="56" spans="1:6" ht="15" customHeight="1" x14ac:dyDescent="0.3">
      <c r="A56" s="307" t="s">
        <v>37</v>
      </c>
      <c r="B56" s="388">
        <v>0</v>
      </c>
      <c r="C56" s="395">
        <v>0</v>
      </c>
      <c r="D56" s="388">
        <v>0</v>
      </c>
      <c r="E56" s="395">
        <v>0</v>
      </c>
      <c r="F56" s="388">
        <v>0</v>
      </c>
    </row>
    <row r="57" spans="1:6" ht="15" customHeight="1" x14ac:dyDescent="0.3">
      <c r="A57" s="327" t="s">
        <v>38</v>
      </c>
      <c r="B57" s="1065">
        <f>SUM(B48:B56)</f>
        <v>0</v>
      </c>
      <c r="C57" s="1066">
        <f>SUM(C48:C56)</f>
        <v>0</v>
      </c>
      <c r="D57" s="1065">
        <f>SUM(D48:D56)</f>
        <v>0</v>
      </c>
      <c r="E57" s="1066">
        <f>SUM(E48:E56)</f>
        <v>0</v>
      </c>
      <c r="F57" s="1065">
        <f>SUM(F48:F56)</f>
        <v>0</v>
      </c>
    </row>
    <row r="58" spans="1:6" ht="15" customHeight="1" x14ac:dyDescent="0.3">
      <c r="A58" s="335"/>
      <c r="B58" s="1076"/>
      <c r="C58" s="1077"/>
      <c r="D58" s="1076"/>
      <c r="E58" s="1077"/>
      <c r="F58" s="1076"/>
    </row>
    <row r="59" spans="1:6" ht="15" customHeight="1" x14ac:dyDescent="0.3">
      <c r="A59" s="322" t="s">
        <v>39</v>
      </c>
      <c r="B59" s="1081"/>
      <c r="C59" s="1082"/>
      <c r="D59" s="1081"/>
      <c r="E59" s="1082"/>
      <c r="F59" s="1081"/>
    </row>
    <row r="60" spans="1:6" ht="15" customHeight="1" x14ac:dyDescent="0.3">
      <c r="A60" s="306" t="s">
        <v>117</v>
      </c>
      <c r="B60" s="385">
        <v>0</v>
      </c>
      <c r="C60" s="385">
        <v>0</v>
      </c>
      <c r="D60" s="385">
        <v>0</v>
      </c>
      <c r="E60" s="385">
        <v>0</v>
      </c>
      <c r="F60" s="385">
        <v>0</v>
      </c>
    </row>
    <row r="61" spans="1:6" ht="15" customHeight="1" x14ac:dyDescent="0.3">
      <c r="A61" s="306" t="s">
        <v>40</v>
      </c>
      <c r="B61" s="385">
        <v>0</v>
      </c>
      <c r="C61" s="385">
        <v>0</v>
      </c>
      <c r="D61" s="385">
        <v>0</v>
      </c>
      <c r="E61" s="385">
        <v>0</v>
      </c>
      <c r="F61" s="385">
        <v>0</v>
      </c>
    </row>
    <row r="62" spans="1:6" ht="15" customHeight="1" x14ac:dyDescent="0.3">
      <c r="A62" s="308"/>
      <c r="B62" s="1085"/>
      <c r="C62" s="1086"/>
      <c r="D62" s="1085"/>
      <c r="E62" s="1086"/>
      <c r="F62" s="1085"/>
    </row>
    <row r="63" spans="1:6" ht="15" customHeight="1" x14ac:dyDescent="0.3">
      <c r="A63" s="327" t="s">
        <v>41</v>
      </c>
      <c r="B63" s="1065">
        <f>SUM(B60:B62)</f>
        <v>0</v>
      </c>
      <c r="C63" s="1066">
        <f>SUM(C60:C62)</f>
        <v>0</v>
      </c>
      <c r="D63" s="1065">
        <f>SUM(D60:D62)</f>
        <v>0</v>
      </c>
      <c r="E63" s="1066">
        <f>SUM(E60:E62)</f>
        <v>0</v>
      </c>
      <c r="F63" s="1065">
        <f>SUM(F60:F62)</f>
        <v>0</v>
      </c>
    </row>
    <row r="64" spans="1:6" ht="15" customHeight="1" x14ac:dyDescent="0.3">
      <c r="A64" s="335"/>
      <c r="B64" s="1076"/>
      <c r="C64" s="1077"/>
      <c r="D64" s="1076"/>
      <c r="E64" s="1077"/>
      <c r="F64" s="1076"/>
    </row>
    <row r="65" spans="1:6" ht="15" customHeight="1" x14ac:dyDescent="0.3">
      <c r="A65" s="322" t="s">
        <v>42</v>
      </c>
      <c r="B65" s="1081"/>
      <c r="C65" s="1082"/>
      <c r="D65" s="1081"/>
      <c r="E65" s="1082"/>
      <c r="F65" s="1081"/>
    </row>
    <row r="66" spans="1:6" ht="15" customHeight="1" x14ac:dyDescent="0.3">
      <c r="A66" s="306" t="s">
        <v>43</v>
      </c>
      <c r="B66" s="385">
        <v>0</v>
      </c>
      <c r="C66" s="387">
        <v>0</v>
      </c>
      <c r="D66" s="385">
        <v>0</v>
      </c>
      <c r="E66" s="387">
        <v>0</v>
      </c>
      <c r="F66" s="385">
        <v>0</v>
      </c>
    </row>
    <row r="67" spans="1:6" ht="15" customHeight="1" x14ac:dyDescent="0.3">
      <c r="A67" s="306" t="s">
        <v>44</v>
      </c>
      <c r="B67" s="385">
        <v>0</v>
      </c>
      <c r="C67" s="387">
        <v>0</v>
      </c>
      <c r="D67" s="385">
        <v>0</v>
      </c>
      <c r="E67" s="387">
        <v>0</v>
      </c>
      <c r="F67" s="385">
        <v>0</v>
      </c>
    </row>
    <row r="68" spans="1:6" ht="15" customHeight="1" x14ac:dyDescent="0.3">
      <c r="A68" s="306" t="s">
        <v>45</v>
      </c>
      <c r="B68" s="385">
        <v>0</v>
      </c>
      <c r="C68" s="1089">
        <v>0</v>
      </c>
      <c r="D68" s="1089">
        <v>0</v>
      </c>
      <c r="E68" s="1089">
        <v>0</v>
      </c>
      <c r="F68" s="385">
        <v>0</v>
      </c>
    </row>
    <row r="69" spans="1:6" ht="15" customHeight="1" x14ac:dyDescent="0.3">
      <c r="A69" s="307" t="s">
        <v>46</v>
      </c>
      <c r="B69" s="404">
        <v>7270871.4100000001</v>
      </c>
      <c r="C69" s="884">
        <v>6640203.4500000002</v>
      </c>
      <c r="D69" s="405">
        <v>7104734.9199999999</v>
      </c>
      <c r="E69" s="405">
        <v>6394068.46</v>
      </c>
      <c r="F69" s="405">
        <v>6099888.21</v>
      </c>
    </row>
    <row r="70" spans="1:6" ht="15" customHeight="1" x14ac:dyDescent="0.3">
      <c r="A70" s="327" t="s">
        <v>47</v>
      </c>
      <c r="B70" s="1065">
        <f>SUM(B66:B69)</f>
        <v>7270871.4100000001</v>
      </c>
      <c r="C70" s="1065">
        <f>SUM(C66:C69)</f>
        <v>6640203.4500000002</v>
      </c>
      <c r="D70" s="1065">
        <f>SUM(D66:D69)</f>
        <v>7104734.9199999999</v>
      </c>
      <c r="E70" s="1065">
        <f>SUM(E66:E69)</f>
        <v>6394068.46</v>
      </c>
      <c r="F70" s="1065">
        <f>SUM(F66:F69)</f>
        <v>6099888.21</v>
      </c>
    </row>
    <row r="71" spans="1:6" ht="15.75" customHeight="1" x14ac:dyDescent="0.3">
      <c r="A71" s="336"/>
      <c r="B71" s="407"/>
      <c r="C71" s="409"/>
      <c r="D71" s="407"/>
      <c r="E71" s="409"/>
      <c r="F71" s="407"/>
    </row>
    <row r="72" spans="1:6" ht="16.5" customHeight="1" thickBot="1" x14ac:dyDescent="0.35">
      <c r="A72" s="337" t="s">
        <v>48</v>
      </c>
      <c r="B72" s="1090">
        <f>B70+B63+B57</f>
        <v>7270871.4100000001</v>
      </c>
      <c r="C72" s="1091">
        <f>C70+C63+C57</f>
        <v>6640203.4500000002</v>
      </c>
      <c r="D72" s="1090">
        <f>D70+D63+D57</f>
        <v>7104734.9199999999</v>
      </c>
      <c r="E72" s="1091">
        <f>E70+E63+E57</f>
        <v>6394068.46</v>
      </c>
      <c r="F72" s="1090">
        <f>F70+F63+F57</f>
        <v>6099888.21</v>
      </c>
    </row>
  </sheetData>
  <sheetProtection algorithmName="SHA-512" hashValue="T2erPrgOVTiGSeu4tQOi0rOBnQfohXFS/SuKif9N5anaJdDcnDYntpMEDq/GjZDUM9Za4pEfZLIMwCKaM2tZgg==" saltValue="4FjESh1y45HYsTRNbQQcNA==" spinCount="100000" sheet="1" objects="1" scenarios="1"/>
  <mergeCells count="6">
    <mergeCell ref="A7:F7"/>
    <mergeCell ref="A1:F1"/>
    <mergeCell ref="A3:F3"/>
    <mergeCell ref="A4:F4"/>
    <mergeCell ref="A5:F5"/>
    <mergeCell ref="A6:F6"/>
  </mergeCells>
  <pageMargins left="0.7" right="0.7" top="0.75" bottom="0.75" header="0.3" footer="0.3"/>
  <pageSetup scale="60" fitToHeight="0" orientation="portrait" horizontalDpi="300" verticalDpi="30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pageSetUpPr fitToPage="1"/>
  </sheetPr>
  <dimension ref="A1:AG83"/>
  <sheetViews>
    <sheetView view="pageBreakPreview" zoomScale="60" zoomScaleNormal="80" workbookViewId="0">
      <pane xSplit="1" topLeftCell="O1" activePane="topRight" state="frozen"/>
      <selection activeCell="A4" sqref="A4"/>
      <selection pane="topRight" activeCell="W79" sqref="W79"/>
    </sheetView>
  </sheetViews>
  <sheetFormatPr defaultRowHeight="18.75" x14ac:dyDescent="0.3"/>
  <cols>
    <col min="1" max="1" width="61.7109375" style="49" customWidth="1"/>
    <col min="2" max="3" width="14.140625" style="47" customWidth="1"/>
    <col min="4" max="4" width="13.140625" style="47" customWidth="1"/>
    <col min="5" max="5" width="11.7109375" style="304" customWidth="1"/>
    <col min="6" max="6" width="1" style="49" customWidth="1"/>
    <col min="7" max="7" width="14.5703125" style="47" customWidth="1"/>
    <col min="8" max="8" width="14.28515625" style="47" customWidth="1"/>
    <col min="9" max="9" width="12.140625" style="47" customWidth="1"/>
    <col min="10" max="10" width="11" style="304" customWidth="1"/>
    <col min="11" max="11" width="1.140625" style="49" customWidth="1"/>
    <col min="12" max="12" width="14" style="47" customWidth="1"/>
    <col min="13" max="13" width="14.140625" style="47" customWidth="1"/>
    <col min="14" max="14" width="12.85546875" style="47" customWidth="1"/>
    <col min="15" max="15" width="9" style="305" customWidth="1"/>
    <col min="16" max="16" width="1" style="49" customWidth="1"/>
    <col min="17" max="17" width="13.85546875" style="47" customWidth="1"/>
    <col min="18" max="18" width="13.140625" style="47" customWidth="1"/>
    <col min="19" max="19" width="12.85546875" style="47" customWidth="1"/>
    <col min="20" max="20" width="9.85546875" style="305" customWidth="1"/>
    <col min="21" max="21" width="1.28515625" style="49" customWidth="1"/>
    <col min="22" max="22" width="14.28515625" style="47" customWidth="1"/>
    <col min="23" max="23" width="14.140625" style="47" customWidth="1"/>
    <col min="24" max="24" width="13" style="47" customWidth="1"/>
    <col min="25" max="25" width="15.85546875" style="305" customWidth="1"/>
    <col min="26" max="26" width="1" style="49" customWidth="1"/>
    <col min="27" max="27" width="16.28515625" style="47" customWidth="1"/>
    <col min="28" max="28" width="13.7109375" style="47" customWidth="1"/>
    <col min="29" max="29" width="11.5703125" style="305" customWidth="1"/>
    <col min="30" max="30" width="1" style="49" customWidth="1"/>
    <col min="31" max="31" width="66.42578125" style="49" customWidth="1"/>
    <col min="32" max="16384" width="9.140625" style="49"/>
  </cols>
  <sheetData>
    <row r="1" spans="1:31" x14ac:dyDescent="0.3">
      <c r="A1" s="1102" t="s">
        <v>49</v>
      </c>
      <c r="B1" s="497"/>
      <c r="C1" s="497"/>
      <c r="D1" s="497"/>
      <c r="E1" s="497"/>
      <c r="F1" s="497"/>
      <c r="G1" s="497"/>
      <c r="H1" s="497"/>
      <c r="I1" s="87"/>
      <c r="J1" s="88"/>
      <c r="K1" s="89"/>
      <c r="L1" s="90"/>
      <c r="M1" s="90"/>
      <c r="N1" s="90"/>
      <c r="O1" s="91"/>
      <c r="P1" s="120"/>
      <c r="Q1" s="87"/>
      <c r="R1" s="92"/>
      <c r="S1" s="121"/>
      <c r="T1" s="93"/>
      <c r="U1" s="120"/>
      <c r="V1" s="122"/>
      <c r="W1" s="122"/>
      <c r="X1" s="122"/>
      <c r="Y1" s="123"/>
      <c r="Z1" s="120"/>
      <c r="AA1" s="122"/>
      <c r="AB1" s="122"/>
      <c r="AC1" s="123"/>
      <c r="AD1" s="120"/>
      <c r="AE1" s="124"/>
    </row>
    <row r="2" spans="1:31" x14ac:dyDescent="0.3">
      <c r="A2" s="1112"/>
      <c r="B2" s="99"/>
      <c r="C2" s="99"/>
      <c r="D2" s="99"/>
      <c r="E2" s="1114"/>
      <c r="F2" s="498"/>
      <c r="G2" s="99"/>
      <c r="H2" s="99"/>
      <c r="I2" s="94"/>
      <c r="J2" s="95"/>
      <c r="K2" s="97"/>
      <c r="L2" s="46"/>
      <c r="M2" s="46"/>
      <c r="N2" s="46"/>
      <c r="O2" s="98"/>
      <c r="P2" s="97"/>
      <c r="Q2" s="94"/>
      <c r="R2" s="99"/>
      <c r="S2" s="126"/>
      <c r="T2" s="100"/>
      <c r="U2" s="97"/>
      <c r="V2" s="127"/>
      <c r="W2" s="127"/>
      <c r="X2" s="127"/>
      <c r="Y2" s="128"/>
      <c r="Z2" s="97"/>
      <c r="AA2" s="127"/>
      <c r="AB2" s="127"/>
      <c r="AC2" s="128"/>
      <c r="AD2" s="97"/>
      <c r="AE2" s="129"/>
    </row>
    <row r="3" spans="1:31" s="52" customFormat="1" x14ac:dyDescent="0.3">
      <c r="A3" s="1103" t="s">
        <v>174</v>
      </c>
      <c r="B3" s="1104"/>
      <c r="C3" s="1104"/>
      <c r="D3" s="1104"/>
      <c r="E3" s="1104"/>
      <c r="F3" s="1104"/>
      <c r="G3" s="1104"/>
      <c r="H3" s="1104"/>
      <c r="I3" s="101"/>
      <c r="J3" s="102"/>
      <c r="K3" s="103"/>
      <c r="L3" s="104"/>
      <c r="M3" s="104"/>
      <c r="N3" s="104"/>
      <c r="O3" s="105"/>
      <c r="P3" s="130"/>
      <c r="Q3" s="101"/>
      <c r="R3" s="106"/>
      <c r="S3" s="118"/>
      <c r="T3" s="107"/>
      <c r="U3" s="130"/>
      <c r="V3" s="131"/>
      <c r="W3" s="131"/>
      <c r="X3" s="131"/>
      <c r="Y3" s="132"/>
      <c r="Z3" s="130"/>
      <c r="AA3" s="131"/>
      <c r="AB3" s="131"/>
      <c r="AC3" s="132"/>
      <c r="AD3" s="130"/>
      <c r="AE3" s="133"/>
    </row>
    <row r="4" spans="1:31" x14ac:dyDescent="0.3">
      <c r="A4" s="1105" t="s">
        <v>51</v>
      </c>
      <c r="B4" s="1106"/>
      <c r="C4" s="1106"/>
      <c r="D4" s="1106"/>
      <c r="E4" s="1106"/>
      <c r="F4" s="1106"/>
      <c r="G4" s="1106"/>
      <c r="H4" s="1106"/>
      <c r="I4" s="94"/>
      <c r="J4" s="95"/>
      <c r="K4" s="108"/>
      <c r="L4" s="109"/>
      <c r="M4" s="109"/>
      <c r="N4" s="109"/>
      <c r="O4" s="110"/>
      <c r="P4" s="134"/>
      <c r="Q4" s="111"/>
      <c r="R4" s="112"/>
      <c r="S4" s="126"/>
      <c r="T4" s="113"/>
      <c r="U4" s="134"/>
      <c r="V4" s="127"/>
      <c r="W4" s="127"/>
      <c r="X4" s="127"/>
      <c r="Y4" s="128"/>
      <c r="Z4" s="134"/>
      <c r="AA4" s="127"/>
      <c r="AB4" s="127"/>
      <c r="AC4" s="128"/>
      <c r="AD4" s="134"/>
      <c r="AE4" s="129"/>
    </row>
    <row r="5" spans="1:31" x14ac:dyDescent="0.3">
      <c r="A5" s="1105" t="s">
        <v>52</v>
      </c>
      <c r="B5" s="498"/>
      <c r="C5" s="498"/>
      <c r="D5" s="498"/>
      <c r="E5" s="498"/>
      <c r="F5" s="498"/>
      <c r="G5" s="498"/>
      <c r="H5" s="498"/>
      <c r="I5" s="94"/>
      <c r="J5" s="95"/>
      <c r="K5" s="108"/>
      <c r="L5" s="109"/>
      <c r="M5" s="109"/>
      <c r="N5" s="109"/>
      <c r="O5" s="110"/>
      <c r="P5" s="134"/>
      <c r="Q5" s="111"/>
      <c r="R5" s="112"/>
      <c r="S5" s="126"/>
      <c r="T5" s="113"/>
      <c r="U5" s="134"/>
      <c r="V5" s="127"/>
      <c r="W5" s="127"/>
      <c r="X5" s="127"/>
      <c r="Y5" s="128"/>
      <c r="Z5" s="134"/>
      <c r="AA5" s="127"/>
      <c r="AB5" s="127"/>
      <c r="AC5" s="128"/>
      <c r="AD5" s="134"/>
      <c r="AE5" s="129"/>
    </row>
    <row r="6" spans="1:31" s="52" customFormat="1" x14ac:dyDescent="0.3">
      <c r="A6" s="1103" t="s">
        <v>194</v>
      </c>
      <c r="B6" s="1108"/>
      <c r="C6" s="1108"/>
      <c r="D6" s="1108"/>
      <c r="E6" s="1108"/>
      <c r="F6" s="1108"/>
      <c r="G6" s="1108"/>
      <c r="H6" s="1108"/>
      <c r="I6" s="101"/>
      <c r="J6" s="102"/>
      <c r="K6" s="114"/>
      <c r="L6" s="115"/>
      <c r="M6" s="115"/>
      <c r="N6" s="115"/>
      <c r="O6" s="116"/>
      <c r="P6" s="130"/>
      <c r="Q6" s="117"/>
      <c r="R6" s="118"/>
      <c r="S6" s="118"/>
      <c r="T6" s="119"/>
      <c r="U6" s="130"/>
      <c r="V6" s="131"/>
      <c r="W6" s="131"/>
      <c r="X6" s="131"/>
      <c r="Y6" s="132"/>
      <c r="Z6" s="130"/>
      <c r="AA6" s="104"/>
      <c r="AB6" s="104"/>
      <c r="AC6" s="132"/>
      <c r="AD6" s="130"/>
      <c r="AE6" s="133"/>
    </row>
    <row r="7" spans="1:31" s="52" customFormat="1" x14ac:dyDescent="0.3">
      <c r="A7" s="1101" t="s">
        <v>2</v>
      </c>
      <c r="B7" s="500"/>
      <c r="C7" s="500"/>
      <c r="D7" s="500"/>
      <c r="E7" s="500"/>
      <c r="F7" s="500"/>
      <c r="G7" s="500"/>
      <c r="H7" s="500"/>
      <c r="I7" s="101"/>
      <c r="J7" s="102"/>
      <c r="K7" s="114"/>
      <c r="L7" s="115"/>
      <c r="M7" s="115"/>
      <c r="N7" s="115"/>
      <c r="O7" s="116"/>
      <c r="P7" s="130"/>
      <c r="Q7" s="117"/>
      <c r="R7" s="118"/>
      <c r="S7" s="118"/>
      <c r="T7" s="119"/>
      <c r="U7" s="130"/>
      <c r="V7" s="131"/>
      <c r="W7" s="131"/>
      <c r="X7" s="131"/>
      <c r="Y7" s="132"/>
      <c r="Z7" s="130"/>
      <c r="AA7" s="131"/>
      <c r="AB7" s="131"/>
      <c r="AC7" s="132"/>
      <c r="AD7" s="130"/>
      <c r="AE7" s="133"/>
    </row>
    <row r="8" spans="1:31" ht="19.5" thickBot="1" x14ac:dyDescent="0.35">
      <c r="A8" s="135" t="s">
        <v>173</v>
      </c>
      <c r="B8" s="1115"/>
      <c r="C8" s="1116"/>
      <c r="D8" s="1116"/>
      <c r="E8" s="1117"/>
      <c r="F8" s="1113"/>
      <c r="G8" s="1116"/>
      <c r="H8" s="1116"/>
      <c r="I8" s="127"/>
      <c r="J8" s="137"/>
      <c r="K8" s="138"/>
      <c r="L8" s="127"/>
      <c r="M8" s="127"/>
      <c r="N8" s="127"/>
      <c r="O8" s="128"/>
      <c r="P8" s="138"/>
      <c r="Q8" s="127"/>
      <c r="R8" s="127"/>
      <c r="S8" s="127"/>
      <c r="T8" s="128"/>
      <c r="U8" s="138"/>
      <c r="V8" s="127"/>
      <c r="W8" s="127"/>
      <c r="X8" s="127"/>
      <c r="Y8" s="128"/>
      <c r="Z8" s="138"/>
      <c r="AA8" s="127"/>
      <c r="AB8" s="127"/>
      <c r="AC8" s="128"/>
      <c r="AD8" s="138"/>
      <c r="AE8" s="139"/>
    </row>
    <row r="9" spans="1:31" x14ac:dyDescent="0.3">
      <c r="A9" s="140"/>
      <c r="B9" s="1446" t="s">
        <v>53</v>
      </c>
      <c r="C9" s="1447"/>
      <c r="D9" s="1448"/>
      <c r="E9" s="1449"/>
      <c r="F9" s="141"/>
      <c r="G9" s="1446" t="s">
        <v>54</v>
      </c>
      <c r="H9" s="1447"/>
      <c r="I9" s="1447"/>
      <c r="J9" s="1450"/>
      <c r="K9" s="141"/>
      <c r="L9" s="1451" t="s">
        <v>55</v>
      </c>
      <c r="M9" s="1452"/>
      <c r="N9" s="1452"/>
      <c r="O9" s="1453"/>
      <c r="P9" s="141"/>
      <c r="Q9" s="1454" t="s">
        <v>56</v>
      </c>
      <c r="R9" s="1448"/>
      <c r="S9" s="1448"/>
      <c r="T9" s="1449"/>
      <c r="U9" s="141"/>
      <c r="V9" s="1455" t="s">
        <v>57</v>
      </c>
      <c r="W9" s="1456"/>
      <c r="X9" s="1456"/>
      <c r="Y9" s="1457"/>
      <c r="Z9" s="141"/>
      <c r="AA9" s="1455" t="s">
        <v>196</v>
      </c>
      <c r="AB9" s="1456"/>
      <c r="AC9" s="1457"/>
      <c r="AD9" s="142"/>
      <c r="AE9" s="1439" t="s">
        <v>58</v>
      </c>
    </row>
    <row r="10" spans="1:31" ht="37.5" x14ac:dyDescent="0.3">
      <c r="A10" s="143" t="s">
        <v>59</v>
      </c>
      <c r="B10" s="144" t="s">
        <v>60</v>
      </c>
      <c r="C10" s="144" t="s">
        <v>61</v>
      </c>
      <c r="D10" s="1441" t="s">
        <v>62</v>
      </c>
      <c r="E10" s="1442"/>
      <c r="F10" s="145"/>
      <c r="G10" s="144" t="s">
        <v>60</v>
      </c>
      <c r="H10" s="144" t="s">
        <v>61</v>
      </c>
      <c r="I10" s="1443" t="s">
        <v>62</v>
      </c>
      <c r="J10" s="1444"/>
      <c r="K10" s="145"/>
      <c r="L10" s="144" t="s">
        <v>60</v>
      </c>
      <c r="M10" s="144" t="s">
        <v>61</v>
      </c>
      <c r="N10" s="1443" t="s">
        <v>62</v>
      </c>
      <c r="O10" s="1444"/>
      <c r="P10" s="145"/>
      <c r="Q10" s="146" t="s">
        <v>60</v>
      </c>
      <c r="R10" s="147" t="s">
        <v>61</v>
      </c>
      <c r="S10" s="1445" t="s">
        <v>62</v>
      </c>
      <c r="T10" s="1442"/>
      <c r="U10" s="145"/>
      <c r="V10" s="146" t="s">
        <v>60</v>
      </c>
      <c r="W10" s="147" t="s">
        <v>61</v>
      </c>
      <c r="X10" s="1445" t="s">
        <v>62</v>
      </c>
      <c r="Y10" s="1442"/>
      <c r="Z10" s="145"/>
      <c r="AA10" s="148" t="s">
        <v>63</v>
      </c>
      <c r="AB10" s="1445" t="s">
        <v>64</v>
      </c>
      <c r="AC10" s="1442"/>
      <c r="AD10" s="149"/>
      <c r="AE10" s="1440"/>
    </row>
    <row r="11" spans="1:31" x14ac:dyDescent="0.3">
      <c r="A11" s="150"/>
      <c r="B11" s="151" t="s">
        <v>107</v>
      </c>
      <c r="C11" s="151" t="s">
        <v>107</v>
      </c>
      <c r="D11" s="152" t="s">
        <v>107</v>
      </c>
      <c r="E11" s="153" t="s">
        <v>65</v>
      </c>
      <c r="F11" s="154"/>
      <c r="G11" s="151" t="s">
        <v>107</v>
      </c>
      <c r="H11" s="151" t="s">
        <v>107</v>
      </c>
      <c r="I11" s="155" t="s">
        <v>107</v>
      </c>
      <c r="J11" s="156" t="s">
        <v>65</v>
      </c>
      <c r="K11" s="154"/>
      <c r="L11" s="151" t="s">
        <v>107</v>
      </c>
      <c r="M11" s="151" t="s">
        <v>107</v>
      </c>
      <c r="N11" s="155" t="s">
        <v>107</v>
      </c>
      <c r="O11" s="157" t="s">
        <v>65</v>
      </c>
      <c r="P11" s="154"/>
      <c r="Q11" s="158" t="s">
        <v>107</v>
      </c>
      <c r="R11" s="159" t="s">
        <v>107</v>
      </c>
      <c r="S11" s="160" t="s">
        <v>107</v>
      </c>
      <c r="T11" s="161" t="s">
        <v>65</v>
      </c>
      <c r="U11" s="154"/>
      <c r="V11" s="158" t="s">
        <v>107</v>
      </c>
      <c r="W11" s="159" t="s">
        <v>107</v>
      </c>
      <c r="X11" s="160" t="s">
        <v>107</v>
      </c>
      <c r="Y11" s="161" t="s">
        <v>65</v>
      </c>
      <c r="Z11" s="154"/>
      <c r="AA11" s="158" t="s">
        <v>107</v>
      </c>
      <c r="AB11" s="160" t="s">
        <v>107</v>
      </c>
      <c r="AC11" s="161" t="s">
        <v>65</v>
      </c>
      <c r="AD11" s="162"/>
      <c r="AE11" s="1478"/>
    </row>
    <row r="12" spans="1:31" x14ac:dyDescent="0.3">
      <c r="A12" s="163"/>
      <c r="B12" s="164"/>
      <c r="C12" s="164"/>
      <c r="D12" s="165"/>
      <c r="E12" s="166"/>
      <c r="F12" s="167"/>
      <c r="G12" s="445"/>
      <c r="H12" s="445"/>
      <c r="I12" s="446"/>
      <c r="J12" s="166"/>
      <c r="K12" s="167"/>
      <c r="L12" s="445"/>
      <c r="M12" s="445"/>
      <c r="N12" s="446"/>
      <c r="O12" s="168"/>
      <c r="P12" s="167"/>
      <c r="Q12" s="165"/>
      <c r="R12" s="165"/>
      <c r="S12" s="165"/>
      <c r="T12" s="168"/>
      <c r="U12" s="169"/>
      <c r="V12" s="170"/>
      <c r="W12" s="165"/>
      <c r="X12" s="165"/>
      <c r="Y12" s="168"/>
      <c r="Z12" s="167"/>
      <c r="AA12" s="165"/>
      <c r="AB12" s="165"/>
      <c r="AC12" s="168"/>
      <c r="AD12" s="167"/>
      <c r="AE12" s="857"/>
    </row>
    <row r="13" spans="1:31" x14ac:dyDescent="0.3">
      <c r="A13" s="172" t="s">
        <v>66</v>
      </c>
      <c r="B13" s="173"/>
      <c r="C13" s="173"/>
      <c r="D13" s="173"/>
      <c r="E13" s="174"/>
      <c r="F13" s="175"/>
      <c r="G13" s="448"/>
      <c r="H13" s="448"/>
      <c r="I13" s="448"/>
      <c r="J13" s="174"/>
      <c r="K13" s="175"/>
      <c r="L13" s="448"/>
      <c r="M13" s="448"/>
      <c r="N13" s="448"/>
      <c r="O13" s="176"/>
      <c r="P13" s="175"/>
      <c r="Q13" s="173"/>
      <c r="R13" s="173"/>
      <c r="S13" s="173"/>
      <c r="T13" s="176"/>
      <c r="U13" s="177"/>
      <c r="V13" s="178"/>
      <c r="W13" s="173"/>
      <c r="X13" s="173"/>
      <c r="Y13" s="176"/>
      <c r="Z13" s="179"/>
      <c r="AA13" s="173"/>
      <c r="AB13" s="173"/>
      <c r="AC13" s="176"/>
      <c r="AD13" s="175"/>
      <c r="AE13" s="850"/>
    </row>
    <row r="14" spans="1:31" x14ac:dyDescent="0.3">
      <c r="A14" s="181" t="s">
        <v>132</v>
      </c>
      <c r="B14" s="450">
        <v>0</v>
      </c>
      <c r="C14" s="451">
        <v>0</v>
      </c>
      <c r="D14" s="452">
        <f>C14-B14</f>
        <v>0</v>
      </c>
      <c r="E14" s="183" t="str">
        <f t="shared" ref="E14:E25" si="0">IF(ISERROR(D14/B14),"-",D14/B14)</f>
        <v>-</v>
      </c>
      <c r="F14" s="184"/>
      <c r="G14" s="450">
        <v>0</v>
      </c>
      <c r="H14" s="451">
        <v>0</v>
      </c>
      <c r="I14" s="452">
        <f>H14-G14</f>
        <v>0</v>
      </c>
      <c r="J14" s="183" t="str">
        <f t="shared" ref="J14:J25" si="1">IF(ISERROR(I14/G14),"-",I14/G14)</f>
        <v>-</v>
      </c>
      <c r="K14" s="184"/>
      <c r="L14" s="450">
        <v>0</v>
      </c>
      <c r="M14" s="451">
        <v>0</v>
      </c>
      <c r="N14" s="452">
        <f>M14-L14</f>
        <v>0</v>
      </c>
      <c r="O14" s="185" t="str">
        <f t="shared" ref="O14:O25" si="2">IF(ISERROR(N14/L14),"-",N14/L14)</f>
        <v>-</v>
      </c>
      <c r="P14" s="184"/>
      <c r="Q14" s="450">
        <v>0</v>
      </c>
      <c r="R14" s="450">
        <v>0</v>
      </c>
      <c r="S14" s="452">
        <f>R14-Q14</f>
        <v>0</v>
      </c>
      <c r="T14" s="185" t="str">
        <f t="shared" ref="T14:T29" si="3">IF(ISERROR(S14/Q14),"-",S14/Q14)</f>
        <v>-</v>
      </c>
      <c r="U14" s="186"/>
      <c r="V14" s="450">
        <f t="shared" ref="V14:W18" si="4">B14+G14+L14+Q14</f>
        <v>0</v>
      </c>
      <c r="W14" s="451">
        <f t="shared" si="4"/>
        <v>0</v>
      </c>
      <c r="X14" s="452">
        <f>W14-V14</f>
        <v>0</v>
      </c>
      <c r="Y14" s="185" t="str">
        <f t="shared" ref="Y14:Y25" si="5">IF(ISERROR(X14/V14),"-",X14/V14)</f>
        <v>-</v>
      </c>
      <c r="Z14" s="188"/>
      <c r="AA14" s="450">
        <v>0</v>
      </c>
      <c r="AB14" s="452">
        <f t="shared" ref="AB14:AB24" si="6">AA14-W14</f>
        <v>0</v>
      </c>
      <c r="AC14" s="185" t="str">
        <f t="shared" ref="AC14:AC25" si="7">IF(ISERROR(AB14/AA14),"-",AB14/AA14)</f>
        <v>-</v>
      </c>
      <c r="AD14" s="184"/>
      <c r="AE14" s="850"/>
    </row>
    <row r="15" spans="1:31" x14ac:dyDescent="0.3">
      <c r="A15" s="190" t="s">
        <v>111</v>
      </c>
      <c r="B15" s="450">
        <v>1325</v>
      </c>
      <c r="C15" s="451">
        <v>672.05</v>
      </c>
      <c r="D15" s="452">
        <f t="shared" ref="D15:D24" si="8">C15-B15</f>
        <v>-652.95000000000005</v>
      </c>
      <c r="E15" s="183">
        <f t="shared" si="0"/>
        <v>-0.49279245283018869</v>
      </c>
      <c r="F15" s="184"/>
      <c r="G15" s="450">
        <v>1325</v>
      </c>
      <c r="H15" s="451">
        <v>1099.67</v>
      </c>
      <c r="I15" s="452">
        <f t="shared" ref="I15:I24" si="9">H15-G15</f>
        <v>-225.32999999999993</v>
      </c>
      <c r="J15" s="183">
        <f t="shared" si="1"/>
        <v>-0.1700603773584905</v>
      </c>
      <c r="K15" s="184"/>
      <c r="L15" s="450">
        <v>1325</v>
      </c>
      <c r="M15" s="451">
        <v>40.32</v>
      </c>
      <c r="N15" s="452">
        <f t="shared" ref="N15:N24" si="10">M15-L15</f>
        <v>-1284.68</v>
      </c>
      <c r="O15" s="185">
        <f t="shared" si="2"/>
        <v>-0.96956981132075482</v>
      </c>
      <c r="P15" s="184"/>
      <c r="Q15" s="450">
        <v>1325</v>
      </c>
      <c r="R15" s="450">
        <v>577.64</v>
      </c>
      <c r="S15" s="452">
        <f t="shared" ref="S15:S24" si="11">R15-Q15</f>
        <v>-747.36</v>
      </c>
      <c r="T15" s="185">
        <f t="shared" si="3"/>
        <v>-0.56404528301886792</v>
      </c>
      <c r="U15" s="186"/>
      <c r="V15" s="450">
        <f t="shared" si="4"/>
        <v>5300</v>
      </c>
      <c r="W15" s="451">
        <f t="shared" si="4"/>
        <v>2389.6799999999998</v>
      </c>
      <c r="X15" s="452">
        <f t="shared" ref="X15:X24" si="12">W15-V15</f>
        <v>-2910.32</v>
      </c>
      <c r="Y15" s="185">
        <f t="shared" si="5"/>
        <v>-0.54911698113207552</v>
      </c>
      <c r="Z15" s="188"/>
      <c r="AA15" s="450">
        <v>5300</v>
      </c>
      <c r="AB15" s="452">
        <f t="shared" si="6"/>
        <v>2910.32</v>
      </c>
      <c r="AC15" s="185">
        <f t="shared" si="7"/>
        <v>0.54911698113207552</v>
      </c>
      <c r="AD15" s="184"/>
      <c r="AE15" s="851"/>
    </row>
    <row r="16" spans="1:31" x14ac:dyDescent="0.3">
      <c r="A16" s="190" t="s">
        <v>69</v>
      </c>
      <c r="B16" s="450">
        <v>0</v>
      </c>
      <c r="C16" s="451">
        <v>280.06</v>
      </c>
      <c r="D16" s="452">
        <f t="shared" si="8"/>
        <v>280.06</v>
      </c>
      <c r="E16" s="183" t="str">
        <f t="shared" si="0"/>
        <v>-</v>
      </c>
      <c r="F16" s="191"/>
      <c r="G16" s="450">
        <v>0</v>
      </c>
      <c r="H16" s="451">
        <v>0</v>
      </c>
      <c r="I16" s="452">
        <f t="shared" si="9"/>
        <v>0</v>
      </c>
      <c r="J16" s="183" t="str">
        <f t="shared" si="1"/>
        <v>-</v>
      </c>
      <c r="K16" s="191"/>
      <c r="L16" s="450">
        <v>0</v>
      </c>
      <c r="M16" s="451">
        <v>0</v>
      </c>
      <c r="N16" s="452">
        <f t="shared" si="10"/>
        <v>0</v>
      </c>
      <c r="O16" s="185" t="str">
        <f t="shared" si="2"/>
        <v>-</v>
      </c>
      <c r="P16" s="191"/>
      <c r="Q16" s="450">
        <v>0</v>
      </c>
      <c r="R16" s="450">
        <v>154.88999999999999</v>
      </c>
      <c r="S16" s="452">
        <f t="shared" si="11"/>
        <v>154.88999999999999</v>
      </c>
      <c r="T16" s="185" t="str">
        <f t="shared" si="3"/>
        <v>-</v>
      </c>
      <c r="U16" s="192"/>
      <c r="V16" s="450">
        <f>B16+G16+L16+Q16</f>
        <v>0</v>
      </c>
      <c r="W16" s="451">
        <f t="shared" si="4"/>
        <v>434.95</v>
      </c>
      <c r="X16" s="452">
        <f t="shared" si="12"/>
        <v>434.95</v>
      </c>
      <c r="Y16" s="185" t="str">
        <f t="shared" si="5"/>
        <v>-</v>
      </c>
      <c r="Z16" s="188"/>
      <c r="AA16" s="450">
        <v>0</v>
      </c>
      <c r="AB16" s="452">
        <f t="shared" si="6"/>
        <v>-434.95</v>
      </c>
      <c r="AC16" s="185" t="str">
        <f t="shared" si="7"/>
        <v>-</v>
      </c>
      <c r="AD16" s="191"/>
      <c r="AE16" s="850"/>
    </row>
    <row r="17" spans="1:33" x14ac:dyDescent="0.3">
      <c r="A17" s="190" t="s">
        <v>68</v>
      </c>
      <c r="B17" s="450">
        <v>12009</v>
      </c>
      <c r="C17" s="451">
        <v>48040</v>
      </c>
      <c r="D17" s="452">
        <f t="shared" si="8"/>
        <v>36031</v>
      </c>
      <c r="E17" s="183">
        <f t="shared" si="0"/>
        <v>3.0003330835206929</v>
      </c>
      <c r="F17" s="184"/>
      <c r="G17" s="450">
        <v>0</v>
      </c>
      <c r="H17" s="451">
        <v>0</v>
      </c>
      <c r="I17" s="452">
        <f t="shared" si="9"/>
        <v>0</v>
      </c>
      <c r="J17" s="183" t="str">
        <f t="shared" si="1"/>
        <v>-</v>
      </c>
      <c r="K17" s="184"/>
      <c r="L17" s="450">
        <v>0</v>
      </c>
      <c r="M17" s="451">
        <v>6480.39</v>
      </c>
      <c r="N17" s="452">
        <f t="shared" si="10"/>
        <v>6480.39</v>
      </c>
      <c r="O17" s="185" t="str">
        <f t="shared" si="2"/>
        <v>-</v>
      </c>
      <c r="P17" s="184"/>
      <c r="Q17" s="450">
        <v>0</v>
      </c>
      <c r="R17" s="450">
        <v>7018.03</v>
      </c>
      <c r="S17" s="452">
        <f t="shared" si="11"/>
        <v>7018.03</v>
      </c>
      <c r="T17" s="185" t="str">
        <f t="shared" si="3"/>
        <v>-</v>
      </c>
      <c r="U17" s="186"/>
      <c r="V17" s="450">
        <f t="shared" si="4"/>
        <v>12009</v>
      </c>
      <c r="W17" s="451">
        <f t="shared" si="4"/>
        <v>61538.42</v>
      </c>
      <c r="X17" s="452">
        <f t="shared" si="12"/>
        <v>49529.42</v>
      </c>
      <c r="Y17" s="185">
        <f t="shared" si="5"/>
        <v>4.1243583978682654</v>
      </c>
      <c r="Z17" s="188"/>
      <c r="AA17" s="450">
        <v>24018</v>
      </c>
      <c r="AB17" s="452">
        <f t="shared" si="6"/>
        <v>-37520.42</v>
      </c>
      <c r="AC17" s="185">
        <f t="shared" si="7"/>
        <v>-1.5621791989341327</v>
      </c>
      <c r="AD17" s="184"/>
      <c r="AE17" s="850"/>
    </row>
    <row r="18" spans="1:33" x14ac:dyDescent="0.3">
      <c r="A18" s="190" t="s">
        <v>71</v>
      </c>
      <c r="B18" s="450">
        <v>3218.75</v>
      </c>
      <c r="C18" s="451">
        <v>9227.77</v>
      </c>
      <c r="D18" s="452">
        <f t="shared" si="8"/>
        <v>6009.02</v>
      </c>
      <c r="E18" s="183">
        <f t="shared" si="0"/>
        <v>1.8668800000000001</v>
      </c>
      <c r="F18" s="184"/>
      <c r="G18" s="450">
        <v>3218.75</v>
      </c>
      <c r="H18" s="451">
        <v>1594.83</v>
      </c>
      <c r="I18" s="452">
        <f t="shared" si="9"/>
        <v>-1623.92</v>
      </c>
      <c r="J18" s="183">
        <f t="shared" si="1"/>
        <v>-0.50451883495145633</v>
      </c>
      <c r="K18" s="184"/>
      <c r="L18" s="450">
        <v>3218.75</v>
      </c>
      <c r="M18" s="451">
        <v>716.67</v>
      </c>
      <c r="N18" s="452">
        <f t="shared" si="10"/>
        <v>-2502.08</v>
      </c>
      <c r="O18" s="185">
        <f t="shared" si="2"/>
        <v>-0.77734524271844663</v>
      </c>
      <c r="P18" s="184"/>
      <c r="Q18" s="450">
        <v>3218.75</v>
      </c>
      <c r="R18" s="450">
        <v>2775.79</v>
      </c>
      <c r="S18" s="452">
        <f t="shared" si="11"/>
        <v>-442.96000000000004</v>
      </c>
      <c r="T18" s="185">
        <f t="shared" si="3"/>
        <v>-0.13761864077669905</v>
      </c>
      <c r="U18" s="186"/>
      <c r="V18" s="450">
        <f t="shared" si="4"/>
        <v>12875</v>
      </c>
      <c r="W18" s="451">
        <f t="shared" si="4"/>
        <v>14315.060000000001</v>
      </c>
      <c r="X18" s="452">
        <f t="shared" si="12"/>
        <v>1440.0600000000013</v>
      </c>
      <c r="Y18" s="185">
        <f t="shared" si="5"/>
        <v>0.11184932038834962</v>
      </c>
      <c r="Z18" s="188"/>
      <c r="AA18" s="450">
        <v>12875</v>
      </c>
      <c r="AB18" s="452">
        <f t="shared" si="6"/>
        <v>-1440.0600000000013</v>
      </c>
      <c r="AC18" s="185">
        <f t="shared" si="7"/>
        <v>-0.11184932038834962</v>
      </c>
      <c r="AD18" s="184"/>
      <c r="AE18" s="850"/>
    </row>
    <row r="19" spans="1:33" x14ac:dyDescent="0.3">
      <c r="A19" s="523" t="s">
        <v>202</v>
      </c>
      <c r="B19" s="450">
        <v>0</v>
      </c>
      <c r="C19" s="451">
        <v>26.88</v>
      </c>
      <c r="D19" s="452">
        <f t="shared" si="8"/>
        <v>26.88</v>
      </c>
      <c r="E19" s="183" t="str">
        <f t="shared" si="0"/>
        <v>-</v>
      </c>
      <c r="F19" s="184"/>
      <c r="G19" s="450">
        <v>0</v>
      </c>
      <c r="H19" s="451">
        <v>0</v>
      </c>
      <c r="I19" s="452">
        <f t="shared" si="9"/>
        <v>0</v>
      </c>
      <c r="J19" s="183" t="str">
        <f t="shared" si="1"/>
        <v>-</v>
      </c>
      <c r="K19" s="184"/>
      <c r="L19" s="450">
        <v>0</v>
      </c>
      <c r="M19" s="451">
        <v>0</v>
      </c>
      <c r="N19" s="452">
        <f t="shared" si="10"/>
        <v>0</v>
      </c>
      <c r="O19" s="185" t="str">
        <f t="shared" si="2"/>
        <v>-</v>
      </c>
      <c r="P19" s="184"/>
      <c r="Q19" s="450">
        <v>0</v>
      </c>
      <c r="R19" s="450">
        <v>0</v>
      </c>
      <c r="S19" s="452">
        <f t="shared" si="11"/>
        <v>0</v>
      </c>
      <c r="T19" s="185" t="str">
        <f t="shared" si="3"/>
        <v>-</v>
      </c>
      <c r="U19" s="186"/>
      <c r="V19" s="453">
        <f t="shared" ref="V19:W24" si="13">B19+G19+L19+Q19</f>
        <v>0</v>
      </c>
      <c r="W19" s="452">
        <f t="shared" si="13"/>
        <v>26.88</v>
      </c>
      <c r="X19" s="452">
        <f t="shared" si="12"/>
        <v>26.88</v>
      </c>
      <c r="Y19" s="185" t="str">
        <f t="shared" si="5"/>
        <v>-</v>
      </c>
      <c r="Z19" s="188"/>
      <c r="AA19" s="450">
        <v>0</v>
      </c>
      <c r="AB19" s="452">
        <f t="shared" si="6"/>
        <v>-26.88</v>
      </c>
      <c r="AC19" s="185" t="str">
        <f t="shared" si="7"/>
        <v>-</v>
      </c>
      <c r="AD19" s="184"/>
      <c r="AE19" s="850"/>
    </row>
    <row r="20" spans="1:33" x14ac:dyDescent="0.3">
      <c r="A20" s="194" t="s">
        <v>67</v>
      </c>
      <c r="B20" s="450">
        <v>0</v>
      </c>
      <c r="C20" s="451">
        <v>26.88</v>
      </c>
      <c r="D20" s="452">
        <f t="shared" si="8"/>
        <v>26.88</v>
      </c>
      <c r="E20" s="183" t="str">
        <f t="shared" si="0"/>
        <v>-</v>
      </c>
      <c r="F20" s="184"/>
      <c r="G20" s="450">
        <v>0</v>
      </c>
      <c r="H20" s="451">
        <v>0</v>
      </c>
      <c r="I20" s="452">
        <f t="shared" si="9"/>
        <v>0</v>
      </c>
      <c r="J20" s="183" t="str">
        <f t="shared" si="1"/>
        <v>-</v>
      </c>
      <c r="K20" s="184"/>
      <c r="L20" s="450">
        <v>0</v>
      </c>
      <c r="M20" s="451">
        <v>0</v>
      </c>
      <c r="N20" s="452">
        <f t="shared" si="10"/>
        <v>0</v>
      </c>
      <c r="O20" s="185" t="str">
        <f t="shared" si="2"/>
        <v>-</v>
      </c>
      <c r="P20" s="184"/>
      <c r="Q20" s="450">
        <v>0</v>
      </c>
      <c r="R20" s="450">
        <v>0</v>
      </c>
      <c r="S20" s="452">
        <f t="shared" si="11"/>
        <v>0</v>
      </c>
      <c r="T20" s="185" t="str">
        <f t="shared" si="3"/>
        <v>-</v>
      </c>
      <c r="U20" s="186"/>
      <c r="V20" s="450">
        <f t="shared" si="13"/>
        <v>0</v>
      </c>
      <c r="W20" s="451">
        <f t="shared" si="13"/>
        <v>26.88</v>
      </c>
      <c r="X20" s="452">
        <f t="shared" si="12"/>
        <v>26.88</v>
      </c>
      <c r="Y20" s="185" t="str">
        <f t="shared" si="5"/>
        <v>-</v>
      </c>
      <c r="Z20" s="188"/>
      <c r="AA20" s="450">
        <v>0</v>
      </c>
      <c r="AB20" s="452">
        <f t="shared" si="6"/>
        <v>-26.88</v>
      </c>
      <c r="AC20" s="185" t="str">
        <f t="shared" si="7"/>
        <v>-</v>
      </c>
      <c r="AD20" s="184"/>
      <c r="AE20" s="850"/>
    </row>
    <row r="21" spans="1:33" x14ac:dyDescent="0.3">
      <c r="A21" s="181" t="s">
        <v>112</v>
      </c>
      <c r="B21" s="450">
        <v>90000</v>
      </c>
      <c r="C21" s="451">
        <v>90000</v>
      </c>
      <c r="D21" s="452">
        <f t="shared" si="8"/>
        <v>0</v>
      </c>
      <c r="E21" s="183">
        <f t="shared" si="0"/>
        <v>0</v>
      </c>
      <c r="F21" s="184"/>
      <c r="G21" s="450">
        <v>90000</v>
      </c>
      <c r="H21" s="451">
        <v>90000</v>
      </c>
      <c r="I21" s="452">
        <f t="shared" si="9"/>
        <v>0</v>
      </c>
      <c r="J21" s="183">
        <f t="shared" si="1"/>
        <v>0</v>
      </c>
      <c r="K21" s="184"/>
      <c r="L21" s="450">
        <v>90000</v>
      </c>
      <c r="M21" s="451">
        <v>90000</v>
      </c>
      <c r="N21" s="452">
        <f t="shared" si="10"/>
        <v>0</v>
      </c>
      <c r="O21" s="185">
        <f t="shared" si="2"/>
        <v>0</v>
      </c>
      <c r="P21" s="184"/>
      <c r="Q21" s="450">
        <v>90000</v>
      </c>
      <c r="R21" s="450">
        <v>133136.49</v>
      </c>
      <c r="S21" s="452">
        <f t="shared" si="11"/>
        <v>43136.489999999991</v>
      </c>
      <c r="T21" s="185">
        <f t="shared" si="3"/>
        <v>0.47929433333333321</v>
      </c>
      <c r="U21" s="186"/>
      <c r="V21" s="450">
        <f t="shared" si="13"/>
        <v>360000</v>
      </c>
      <c r="W21" s="451">
        <f t="shared" si="13"/>
        <v>403136.49</v>
      </c>
      <c r="X21" s="452">
        <f t="shared" si="12"/>
        <v>43136.489999999991</v>
      </c>
      <c r="Y21" s="185">
        <f t="shared" si="5"/>
        <v>0.1198235833333333</v>
      </c>
      <c r="Z21" s="188"/>
      <c r="AA21" s="450">
        <v>360000</v>
      </c>
      <c r="AB21" s="452">
        <f t="shared" si="6"/>
        <v>-43136.489999999991</v>
      </c>
      <c r="AC21" s="185">
        <f t="shared" si="7"/>
        <v>-0.1198235833333333</v>
      </c>
      <c r="AD21" s="184"/>
      <c r="AE21" s="851"/>
      <c r="AG21" s="195"/>
    </row>
    <row r="22" spans="1:33" x14ac:dyDescent="0.3">
      <c r="A22" s="190" t="s">
        <v>70</v>
      </c>
      <c r="B22" s="450">
        <v>396250</v>
      </c>
      <c r="C22" s="451">
        <v>27776.66</v>
      </c>
      <c r="D22" s="452">
        <f t="shared" si="8"/>
        <v>-368473.34</v>
      </c>
      <c r="E22" s="183">
        <f t="shared" si="0"/>
        <v>-0.92990117350157731</v>
      </c>
      <c r="F22" s="184"/>
      <c r="G22" s="450">
        <v>396250</v>
      </c>
      <c r="H22" s="451">
        <v>1272148</v>
      </c>
      <c r="I22" s="452">
        <f t="shared" si="9"/>
        <v>875898</v>
      </c>
      <c r="J22" s="183">
        <f t="shared" si="1"/>
        <v>2.2104681388012617</v>
      </c>
      <c r="K22" s="184"/>
      <c r="L22" s="450">
        <v>396250</v>
      </c>
      <c r="M22" s="451">
        <v>94808.38</v>
      </c>
      <c r="N22" s="452">
        <f t="shared" si="10"/>
        <v>-301441.62</v>
      </c>
      <c r="O22" s="185">
        <f t="shared" si="2"/>
        <v>-0.76073594952681389</v>
      </c>
      <c r="P22" s="184"/>
      <c r="Q22" s="450">
        <v>396250</v>
      </c>
      <c r="R22" s="450">
        <v>93045.32</v>
      </c>
      <c r="S22" s="452">
        <f t="shared" si="11"/>
        <v>-303204.68</v>
      </c>
      <c r="T22" s="185">
        <f t="shared" si="3"/>
        <v>-0.76518531230283915</v>
      </c>
      <c r="U22" s="186"/>
      <c r="V22" s="450">
        <f>B22+G22+L22+Q22</f>
        <v>1585000</v>
      </c>
      <c r="W22" s="451">
        <f t="shared" si="13"/>
        <v>1487778.36</v>
      </c>
      <c r="X22" s="452">
        <f t="shared" si="12"/>
        <v>-97221.639999999898</v>
      </c>
      <c r="Y22" s="185">
        <f t="shared" si="5"/>
        <v>-6.1338574132492052E-2</v>
      </c>
      <c r="Z22" s="188"/>
      <c r="AA22" s="450">
        <v>1585000</v>
      </c>
      <c r="AB22" s="452">
        <f t="shared" si="6"/>
        <v>97221.639999999898</v>
      </c>
      <c r="AC22" s="185">
        <f t="shared" si="7"/>
        <v>6.1338574132492052E-2</v>
      </c>
      <c r="AD22" s="184"/>
      <c r="AE22" s="850"/>
    </row>
    <row r="23" spans="1:33" x14ac:dyDescent="0.3">
      <c r="A23" s="190" t="s">
        <v>72</v>
      </c>
      <c r="B23" s="450">
        <v>0</v>
      </c>
      <c r="C23" s="451">
        <v>0</v>
      </c>
      <c r="D23" s="452">
        <f t="shared" si="8"/>
        <v>0</v>
      </c>
      <c r="E23" s="183" t="str">
        <f t="shared" si="0"/>
        <v>-</v>
      </c>
      <c r="F23" s="184"/>
      <c r="G23" s="450">
        <v>0</v>
      </c>
      <c r="H23" s="451">
        <v>0</v>
      </c>
      <c r="I23" s="452">
        <f t="shared" si="9"/>
        <v>0</v>
      </c>
      <c r="J23" s="183" t="str">
        <f t="shared" si="1"/>
        <v>-</v>
      </c>
      <c r="K23" s="184"/>
      <c r="L23" s="450">
        <v>0</v>
      </c>
      <c r="M23" s="451">
        <v>0</v>
      </c>
      <c r="N23" s="452">
        <f t="shared" si="10"/>
        <v>0</v>
      </c>
      <c r="O23" s="185" t="str">
        <f t="shared" si="2"/>
        <v>-</v>
      </c>
      <c r="P23" s="184"/>
      <c r="Q23" s="450">
        <v>0</v>
      </c>
      <c r="R23" s="450">
        <v>0</v>
      </c>
      <c r="S23" s="452">
        <f t="shared" si="11"/>
        <v>0</v>
      </c>
      <c r="T23" s="185" t="str">
        <f t="shared" si="3"/>
        <v>-</v>
      </c>
      <c r="U23" s="198"/>
      <c r="V23" s="450">
        <f t="shared" si="13"/>
        <v>0</v>
      </c>
      <c r="W23" s="451">
        <f t="shared" si="13"/>
        <v>0</v>
      </c>
      <c r="X23" s="452">
        <f t="shared" si="12"/>
        <v>0</v>
      </c>
      <c r="Y23" s="185" t="str">
        <f t="shared" si="5"/>
        <v>-</v>
      </c>
      <c r="Z23" s="188"/>
      <c r="AA23" s="450">
        <v>0</v>
      </c>
      <c r="AB23" s="452">
        <f t="shared" si="6"/>
        <v>0</v>
      </c>
      <c r="AC23" s="185" t="str">
        <f t="shared" si="7"/>
        <v>-</v>
      </c>
      <c r="AD23" s="184"/>
      <c r="AE23" s="852"/>
    </row>
    <row r="24" spans="1:33" x14ac:dyDescent="0.3">
      <c r="A24" s="190" t="s">
        <v>131</v>
      </c>
      <c r="B24" s="450">
        <v>0</v>
      </c>
      <c r="C24" s="451">
        <v>0</v>
      </c>
      <c r="D24" s="452">
        <f t="shared" si="8"/>
        <v>0</v>
      </c>
      <c r="E24" s="183" t="str">
        <f t="shared" si="0"/>
        <v>-</v>
      </c>
      <c r="F24" s="184"/>
      <c r="G24" s="450">
        <v>0</v>
      </c>
      <c r="H24" s="451">
        <v>0</v>
      </c>
      <c r="I24" s="452">
        <f t="shared" si="9"/>
        <v>0</v>
      </c>
      <c r="J24" s="183" t="str">
        <f t="shared" si="1"/>
        <v>-</v>
      </c>
      <c r="K24" s="184"/>
      <c r="L24" s="450">
        <v>0</v>
      </c>
      <c r="M24" s="451">
        <v>0</v>
      </c>
      <c r="N24" s="452">
        <f t="shared" si="10"/>
        <v>0</v>
      </c>
      <c r="O24" s="185" t="str">
        <f t="shared" si="2"/>
        <v>-</v>
      </c>
      <c r="P24" s="184"/>
      <c r="Q24" s="450">
        <v>0</v>
      </c>
      <c r="R24" s="642">
        <v>0</v>
      </c>
      <c r="S24" s="452">
        <f t="shared" si="11"/>
        <v>0</v>
      </c>
      <c r="T24" s="185" t="str">
        <f t="shared" si="3"/>
        <v>-</v>
      </c>
      <c r="U24" s="184"/>
      <c r="V24" s="450">
        <f t="shared" si="13"/>
        <v>0</v>
      </c>
      <c r="W24" s="451">
        <f t="shared" si="13"/>
        <v>0</v>
      </c>
      <c r="X24" s="452">
        <f t="shared" si="12"/>
        <v>0</v>
      </c>
      <c r="Y24" s="185" t="str">
        <f t="shared" si="5"/>
        <v>-</v>
      </c>
      <c r="Z24" s="188"/>
      <c r="AA24" s="450">
        <v>0</v>
      </c>
      <c r="AB24" s="452">
        <f t="shared" si="6"/>
        <v>0</v>
      </c>
      <c r="AC24" s="185" t="str">
        <f t="shared" si="7"/>
        <v>-</v>
      </c>
      <c r="AD24" s="184"/>
      <c r="AE24" s="852"/>
    </row>
    <row r="25" spans="1:33" x14ac:dyDescent="0.3">
      <c r="A25" s="199" t="s">
        <v>73</v>
      </c>
      <c r="B25" s="455">
        <f>SUM(B14:B23)</f>
        <v>502802.75</v>
      </c>
      <c r="C25" s="456">
        <f>SUM(C14:C23)</f>
        <v>176050.30000000002</v>
      </c>
      <c r="D25" s="456">
        <f>SUM(D14:D23)</f>
        <v>-326752.45</v>
      </c>
      <c r="E25" s="202">
        <f t="shared" si="0"/>
        <v>-0.64986209800960715</v>
      </c>
      <c r="F25" s="203"/>
      <c r="G25" s="455">
        <f>SUM(G14:G23)</f>
        <v>490793.75</v>
      </c>
      <c r="H25" s="456">
        <f>SUM(H14:H23)</f>
        <v>1364842.5</v>
      </c>
      <c r="I25" s="456">
        <f>SUM(I14:I23)</f>
        <v>874048.75</v>
      </c>
      <c r="J25" s="202">
        <f t="shared" si="1"/>
        <v>1.7808881021814154</v>
      </c>
      <c r="K25" s="203"/>
      <c r="L25" s="455">
        <f>SUM(L14:L23)</f>
        <v>490793.75</v>
      </c>
      <c r="M25" s="456">
        <f>SUM(M14:M23)</f>
        <v>192045.76</v>
      </c>
      <c r="N25" s="456">
        <f>SUM(N14:N23)</f>
        <v>-298747.99</v>
      </c>
      <c r="O25" s="204">
        <f t="shared" si="2"/>
        <v>-0.60870373756797025</v>
      </c>
      <c r="P25" s="203"/>
      <c r="Q25" s="455">
        <f>SUM(Q14:Q23)</f>
        <v>490793.75</v>
      </c>
      <c r="R25" s="456">
        <f>SUM(R14:R23)</f>
        <v>236708.16</v>
      </c>
      <c r="S25" s="456">
        <f>SUM(S14:S23)</f>
        <v>-254085.59</v>
      </c>
      <c r="T25" s="205">
        <f t="shared" si="3"/>
        <v>-0.51770339373718588</v>
      </c>
      <c r="U25" s="203"/>
      <c r="V25" s="455">
        <f>SUM(V14:V23)</f>
        <v>1975184</v>
      </c>
      <c r="W25" s="456">
        <f>SUM(W14:W23)</f>
        <v>1969646.7200000002</v>
      </c>
      <c r="X25" s="456">
        <f>SUM(X14:X23)</f>
        <v>-5537.2799999999115</v>
      </c>
      <c r="Y25" s="205">
        <f t="shared" si="5"/>
        <v>-2.8034248961109E-3</v>
      </c>
      <c r="Z25" s="179"/>
      <c r="AA25" s="457">
        <f>SUM(AA14:AA24)</f>
        <v>1987193</v>
      </c>
      <c r="AB25" s="458">
        <f>SUM(AB14:AB23)</f>
        <v>17546.279999999912</v>
      </c>
      <c r="AC25" s="208">
        <f t="shared" si="7"/>
        <v>8.8296808613959037E-3</v>
      </c>
      <c r="AD25" s="203"/>
      <c r="AE25" s="850"/>
    </row>
    <row r="26" spans="1:33" x14ac:dyDescent="0.3">
      <c r="A26" s="210"/>
      <c r="B26" s="459"/>
      <c r="C26" s="460"/>
      <c r="D26" s="460"/>
      <c r="E26" s="213"/>
      <c r="F26" s="184"/>
      <c r="G26" s="461"/>
      <c r="H26" s="462"/>
      <c r="I26" s="462"/>
      <c r="J26" s="216"/>
      <c r="K26" s="184"/>
      <c r="L26" s="459"/>
      <c r="M26" s="460"/>
      <c r="N26" s="460"/>
      <c r="O26" s="217"/>
      <c r="P26" s="184"/>
      <c r="Q26" s="461"/>
      <c r="R26" s="462"/>
      <c r="S26" s="462"/>
      <c r="T26" s="218" t="str">
        <f t="shared" si="3"/>
        <v>-</v>
      </c>
      <c r="U26" s="184"/>
      <c r="V26" s="459"/>
      <c r="W26" s="460"/>
      <c r="X26" s="460"/>
      <c r="Y26" s="217"/>
      <c r="Z26" s="188"/>
      <c r="AA26" s="459"/>
      <c r="AB26" s="460"/>
      <c r="AC26" s="217"/>
      <c r="AD26" s="184"/>
      <c r="AE26" s="850"/>
    </row>
    <row r="27" spans="1:33" x14ac:dyDescent="0.3">
      <c r="A27" s="172" t="s">
        <v>74</v>
      </c>
      <c r="B27" s="450">
        <v>0</v>
      </c>
      <c r="C27" s="451">
        <v>0</v>
      </c>
      <c r="D27" s="451">
        <f>C27-B27</f>
        <v>0</v>
      </c>
      <c r="E27" s="220" t="str">
        <f>IF(ISERROR(D27/B27),"-",D27/B27)</f>
        <v>-</v>
      </c>
      <c r="F27" s="184"/>
      <c r="G27" s="463">
        <v>0</v>
      </c>
      <c r="H27" s="464">
        <v>0</v>
      </c>
      <c r="I27" s="451">
        <f>H27-G27</f>
        <v>0</v>
      </c>
      <c r="J27" s="221" t="str">
        <f>IF(ISERROR(I27/G27),"-",I27/G27)</f>
        <v>-</v>
      </c>
      <c r="K27" s="184"/>
      <c r="L27" s="450">
        <v>0</v>
      </c>
      <c r="M27" s="451">
        <v>0</v>
      </c>
      <c r="N27" s="451">
        <f>M27-L27</f>
        <v>0</v>
      </c>
      <c r="O27" s="222" t="str">
        <f>IF(ISERROR(N27/L27),"-",N27/L27)</f>
        <v>-</v>
      </c>
      <c r="P27" s="184"/>
      <c r="Q27" s="463">
        <v>0</v>
      </c>
      <c r="R27" s="464">
        <v>0</v>
      </c>
      <c r="S27" s="451">
        <f>R27-Q27</f>
        <v>0</v>
      </c>
      <c r="T27" s="223" t="str">
        <f t="shared" si="3"/>
        <v>-</v>
      </c>
      <c r="U27" s="184"/>
      <c r="V27" s="450">
        <f>B27+G27+L27+Q27</f>
        <v>0</v>
      </c>
      <c r="W27" s="451">
        <f>C27+H27+M27+R27</f>
        <v>0</v>
      </c>
      <c r="X27" s="451">
        <f>W27-V27</f>
        <v>0</v>
      </c>
      <c r="Y27" s="225"/>
      <c r="Z27" s="188"/>
      <c r="AA27" s="450"/>
      <c r="AB27" s="451"/>
      <c r="AC27" s="225"/>
      <c r="AD27" s="184"/>
      <c r="AE27" s="850"/>
    </row>
    <row r="28" spans="1:33" x14ac:dyDescent="0.3">
      <c r="A28" s="226"/>
      <c r="B28" s="465"/>
      <c r="C28" s="466"/>
      <c r="D28" s="466"/>
      <c r="E28" s="229"/>
      <c r="F28" s="175"/>
      <c r="G28" s="467"/>
      <c r="H28" s="468"/>
      <c r="I28" s="468"/>
      <c r="J28" s="232"/>
      <c r="K28" s="175"/>
      <c r="L28" s="465"/>
      <c r="M28" s="466"/>
      <c r="N28" s="466"/>
      <c r="O28" s="233"/>
      <c r="P28" s="175"/>
      <c r="Q28" s="467"/>
      <c r="R28" s="468"/>
      <c r="S28" s="468"/>
      <c r="T28" s="234" t="str">
        <f t="shared" si="3"/>
        <v>-</v>
      </c>
      <c r="U28" s="175"/>
      <c r="V28" s="465"/>
      <c r="W28" s="466"/>
      <c r="X28" s="466"/>
      <c r="Y28" s="233"/>
      <c r="Z28" s="179"/>
      <c r="AA28" s="465"/>
      <c r="AB28" s="466"/>
      <c r="AC28" s="233"/>
      <c r="AD28" s="175"/>
      <c r="AE28" s="852"/>
    </row>
    <row r="29" spans="1:33" x14ac:dyDescent="0.3">
      <c r="A29" s="199" t="s">
        <v>75</v>
      </c>
      <c r="B29" s="469">
        <f>B25+B27</f>
        <v>502802.75</v>
      </c>
      <c r="C29" s="470">
        <f>C25+C27</f>
        <v>176050.30000000002</v>
      </c>
      <c r="D29" s="470">
        <f>D25+D27</f>
        <v>-326752.45</v>
      </c>
      <c r="E29" s="237">
        <f>IF(ISERROR(D29/B29),"-",D29/B29)</f>
        <v>-0.64986209800960715</v>
      </c>
      <c r="F29" s="203"/>
      <c r="G29" s="469">
        <f>G25+G27</f>
        <v>490793.75</v>
      </c>
      <c r="H29" s="470">
        <f>H25+H27</f>
        <v>1364842.5</v>
      </c>
      <c r="I29" s="470">
        <f>I25+I27</f>
        <v>874048.75</v>
      </c>
      <c r="J29" s="237">
        <f>IF(ISERROR(I29/G29),"-",I29/G29)</f>
        <v>1.7808881021814154</v>
      </c>
      <c r="K29" s="203"/>
      <c r="L29" s="469">
        <f>L25+L27</f>
        <v>490793.75</v>
      </c>
      <c r="M29" s="470">
        <f>M25+M27</f>
        <v>192045.76</v>
      </c>
      <c r="N29" s="470">
        <f>N25+N27</f>
        <v>-298747.99</v>
      </c>
      <c r="O29" s="238">
        <f>IF(ISERROR(N29/L29),"-",N29/L29)</f>
        <v>-0.60870373756797025</v>
      </c>
      <c r="P29" s="203"/>
      <c r="Q29" s="469">
        <f>Q25+Q27</f>
        <v>490793.75</v>
      </c>
      <c r="R29" s="470">
        <f>R25+R27</f>
        <v>236708.16</v>
      </c>
      <c r="S29" s="470">
        <f>S25+S27</f>
        <v>-254085.59</v>
      </c>
      <c r="T29" s="238">
        <f t="shared" si="3"/>
        <v>-0.51770339373718588</v>
      </c>
      <c r="U29" s="203"/>
      <c r="V29" s="469">
        <f>V25+V27</f>
        <v>1975184</v>
      </c>
      <c r="W29" s="470">
        <f>W25+W27</f>
        <v>1969646.7200000002</v>
      </c>
      <c r="X29" s="470">
        <f>X25+X27</f>
        <v>-5537.2799999999115</v>
      </c>
      <c r="Y29" s="238">
        <f>IF(ISERROR(X29/V29),"-",X29/V29)</f>
        <v>-2.8034248961109E-3</v>
      </c>
      <c r="Z29" s="179"/>
      <c r="AA29" s="471">
        <f>AA25+AA27</f>
        <v>1987193</v>
      </c>
      <c r="AB29" s="472">
        <f>AA29-W29</f>
        <v>17546.279999999795</v>
      </c>
      <c r="AC29" s="241">
        <f>IF(ISERROR(AB29/AA29),"-",AB29/AA29)</f>
        <v>8.8296808613958465E-3</v>
      </c>
      <c r="AD29" s="203"/>
      <c r="AE29" s="850"/>
    </row>
    <row r="30" spans="1:33" x14ac:dyDescent="0.3">
      <c r="A30" s="242"/>
      <c r="B30" s="473"/>
      <c r="C30" s="474"/>
      <c r="D30" s="474"/>
      <c r="E30" s="245"/>
      <c r="F30" s="175"/>
      <c r="G30" s="475"/>
      <c r="H30" s="476"/>
      <c r="I30" s="476"/>
      <c r="J30" s="248"/>
      <c r="K30" s="175"/>
      <c r="L30" s="473"/>
      <c r="M30" s="474"/>
      <c r="N30" s="474"/>
      <c r="O30" s="249"/>
      <c r="P30" s="175"/>
      <c r="Q30" s="475"/>
      <c r="R30" s="476"/>
      <c r="S30" s="476"/>
      <c r="T30" s="250"/>
      <c r="U30" s="175"/>
      <c r="V30" s="459"/>
      <c r="W30" s="460"/>
      <c r="X30" s="474"/>
      <c r="Y30" s="249"/>
      <c r="Z30" s="179"/>
      <c r="AA30" s="459"/>
      <c r="AB30" s="474"/>
      <c r="AC30" s="249"/>
      <c r="AD30" s="175"/>
      <c r="AE30" s="850"/>
    </row>
    <row r="31" spans="1:33" x14ac:dyDescent="0.3">
      <c r="A31" s="172" t="s">
        <v>76</v>
      </c>
      <c r="B31" s="450"/>
      <c r="C31" s="451"/>
      <c r="D31" s="451"/>
      <c r="E31" s="251"/>
      <c r="F31" s="184"/>
      <c r="G31" s="463"/>
      <c r="H31" s="464"/>
      <c r="I31" s="464"/>
      <c r="J31" s="254"/>
      <c r="K31" s="184"/>
      <c r="L31" s="450"/>
      <c r="M31" s="451"/>
      <c r="N31" s="451"/>
      <c r="O31" s="225"/>
      <c r="P31" s="184"/>
      <c r="Q31" s="463"/>
      <c r="R31" s="464"/>
      <c r="S31" s="464"/>
      <c r="T31" s="255"/>
      <c r="U31" s="184"/>
      <c r="V31" s="450"/>
      <c r="W31" s="451"/>
      <c r="X31" s="451"/>
      <c r="Y31" s="225"/>
      <c r="Z31" s="188"/>
      <c r="AA31" s="450"/>
      <c r="AB31" s="451"/>
      <c r="AC31" s="225"/>
      <c r="AD31" s="184"/>
      <c r="AE31" s="850"/>
    </row>
    <row r="32" spans="1:33" x14ac:dyDescent="0.3">
      <c r="A32" s="172" t="s">
        <v>77</v>
      </c>
      <c r="B32" s="450"/>
      <c r="C32" s="451"/>
      <c r="D32" s="451"/>
      <c r="E32" s="251"/>
      <c r="F32" s="184"/>
      <c r="G32" s="463"/>
      <c r="H32" s="464"/>
      <c r="I32" s="464"/>
      <c r="J32" s="254"/>
      <c r="K32" s="184"/>
      <c r="L32" s="450"/>
      <c r="M32" s="451"/>
      <c r="N32" s="451"/>
      <c r="O32" s="225"/>
      <c r="P32" s="184"/>
      <c r="Q32" s="463"/>
      <c r="R32" s="464"/>
      <c r="S32" s="464"/>
      <c r="T32" s="255"/>
      <c r="U32" s="184"/>
      <c r="V32" s="450"/>
      <c r="W32" s="451"/>
      <c r="X32" s="451"/>
      <c r="Y32" s="225"/>
      <c r="Z32" s="188"/>
      <c r="AA32" s="450"/>
      <c r="AB32" s="451"/>
      <c r="AC32" s="225"/>
      <c r="AD32" s="184"/>
      <c r="AE32" s="850"/>
    </row>
    <row r="33" spans="1:31" x14ac:dyDescent="0.3">
      <c r="A33" s="190" t="s">
        <v>78</v>
      </c>
      <c r="B33" s="450">
        <v>129409.5</v>
      </c>
      <c r="C33" s="451">
        <v>128753</v>
      </c>
      <c r="D33" s="452">
        <f t="shared" ref="D33:D40" si="14">C33-B33</f>
        <v>-656.5</v>
      </c>
      <c r="E33" s="220">
        <f t="shared" ref="E33:E41" si="15">IF(ISERROR(D33/B33),"-",D33/B33)</f>
        <v>-5.0730433237127105E-3</v>
      </c>
      <c r="F33" s="191"/>
      <c r="G33" s="450">
        <v>129409.5</v>
      </c>
      <c r="H33" s="451">
        <v>128753</v>
      </c>
      <c r="I33" s="452">
        <f t="shared" ref="I33:I40" si="16">H33-G33</f>
        <v>-656.5</v>
      </c>
      <c r="J33" s="221">
        <f t="shared" ref="J33:J41" si="17">IF(ISERROR(I33/G33),"-",I33/G33)</f>
        <v>-5.0730433237127105E-3</v>
      </c>
      <c r="K33" s="191"/>
      <c r="L33" s="450">
        <v>129409.5</v>
      </c>
      <c r="M33" s="464">
        <v>128753</v>
      </c>
      <c r="N33" s="452">
        <f t="shared" ref="N33:N40" si="18">M33-L33</f>
        <v>-656.5</v>
      </c>
      <c r="O33" s="222">
        <f t="shared" ref="O33:O41" si="19">IF(ISERROR(N33/L33),"-",N33/L33)</f>
        <v>-5.0730433237127105E-3</v>
      </c>
      <c r="P33" s="191"/>
      <c r="Q33" s="450">
        <v>129409.5</v>
      </c>
      <c r="R33" s="450">
        <v>172545.96</v>
      </c>
      <c r="S33" s="452">
        <f t="shared" ref="S33:S40" si="20">R33-Q33</f>
        <v>43136.459999999992</v>
      </c>
      <c r="T33" s="223">
        <f t="shared" ref="T33:T41" si="21">IF(ISERROR(S33/Q33),"-",S33/Q33)</f>
        <v>0.333333024237015</v>
      </c>
      <c r="U33" s="191"/>
      <c r="V33" s="450">
        <f>B33+G33+L33+Q33</f>
        <v>517638</v>
      </c>
      <c r="W33" s="451">
        <f t="shared" ref="V33:W40" si="22">C33+H33+M33+R33</f>
        <v>558804.96</v>
      </c>
      <c r="X33" s="452">
        <f t="shared" ref="X33:X40" si="23">W33-V33</f>
        <v>41166.959999999963</v>
      </c>
      <c r="Y33" s="222">
        <f t="shared" ref="Y33:Y41" si="24">IF(ISERROR(X33/V33),"-",X33/V33)</f>
        <v>7.9528473566469166E-2</v>
      </c>
      <c r="Z33" s="188"/>
      <c r="AA33" s="450">
        <v>517638</v>
      </c>
      <c r="AB33" s="451">
        <f t="shared" ref="AB33:AB40" si="25">AA33-W33</f>
        <v>-41166.959999999963</v>
      </c>
      <c r="AC33" s="222">
        <f t="shared" ref="AC33:AC41" si="26">IF(ISERROR(AB33/AA33),"-",AB33/AA33)</f>
        <v>-7.9528473566469166E-2</v>
      </c>
      <c r="AD33" s="191"/>
      <c r="AE33" s="851"/>
    </row>
    <row r="34" spans="1:31" x14ac:dyDescent="0.3">
      <c r="A34" s="190" t="s">
        <v>79</v>
      </c>
      <c r="B34" s="450">
        <v>6000</v>
      </c>
      <c r="C34" s="451">
        <v>3600</v>
      </c>
      <c r="D34" s="452">
        <f t="shared" si="14"/>
        <v>-2400</v>
      </c>
      <c r="E34" s="220">
        <f t="shared" si="15"/>
        <v>-0.4</v>
      </c>
      <c r="F34" s="191"/>
      <c r="G34" s="450">
        <v>6000</v>
      </c>
      <c r="H34" s="451">
        <v>3817.35</v>
      </c>
      <c r="I34" s="452">
        <f t="shared" si="16"/>
        <v>-2182.65</v>
      </c>
      <c r="J34" s="221">
        <f t="shared" si="17"/>
        <v>-0.36377500000000002</v>
      </c>
      <c r="K34" s="191"/>
      <c r="L34" s="450">
        <v>6000</v>
      </c>
      <c r="M34" s="464">
        <v>4523.74</v>
      </c>
      <c r="N34" s="452">
        <f>M34-L34</f>
        <v>-1476.2600000000002</v>
      </c>
      <c r="O34" s="222">
        <f t="shared" si="19"/>
        <v>-0.24604333333333336</v>
      </c>
      <c r="P34" s="191"/>
      <c r="Q34" s="450">
        <v>6000</v>
      </c>
      <c r="R34" s="450">
        <v>6402.96</v>
      </c>
      <c r="S34" s="452">
        <f t="shared" si="20"/>
        <v>402.96000000000004</v>
      </c>
      <c r="T34" s="223">
        <f t="shared" si="21"/>
        <v>6.7160000000000011E-2</v>
      </c>
      <c r="U34" s="191"/>
      <c r="V34" s="450">
        <f t="shared" si="22"/>
        <v>24000</v>
      </c>
      <c r="W34" s="451">
        <f t="shared" si="22"/>
        <v>18344.05</v>
      </c>
      <c r="X34" s="452">
        <f t="shared" si="23"/>
        <v>-5655.9500000000007</v>
      </c>
      <c r="Y34" s="222">
        <f t="shared" si="24"/>
        <v>-0.23566458333333337</v>
      </c>
      <c r="Z34" s="188"/>
      <c r="AA34" s="450">
        <v>24000</v>
      </c>
      <c r="AB34" s="451">
        <f>AA34-W34</f>
        <v>5655.9500000000007</v>
      </c>
      <c r="AC34" s="222">
        <f t="shared" si="26"/>
        <v>0.23566458333333337</v>
      </c>
      <c r="AD34" s="191"/>
      <c r="AE34" s="851"/>
    </row>
    <row r="35" spans="1:31" x14ac:dyDescent="0.3">
      <c r="A35" s="190" t="s">
        <v>81</v>
      </c>
      <c r="B35" s="450">
        <v>0</v>
      </c>
      <c r="C35" s="451">
        <v>0</v>
      </c>
      <c r="D35" s="452">
        <f t="shared" si="14"/>
        <v>0</v>
      </c>
      <c r="E35" s="220" t="str">
        <f t="shared" si="15"/>
        <v>-</v>
      </c>
      <c r="F35" s="191"/>
      <c r="G35" s="450">
        <v>0</v>
      </c>
      <c r="H35" s="451">
        <v>0</v>
      </c>
      <c r="I35" s="452">
        <f t="shared" si="16"/>
        <v>0</v>
      </c>
      <c r="J35" s="221" t="str">
        <f t="shared" si="17"/>
        <v>-</v>
      </c>
      <c r="K35" s="191"/>
      <c r="L35" s="450">
        <v>0</v>
      </c>
      <c r="M35" s="464">
        <v>0</v>
      </c>
      <c r="N35" s="452">
        <f t="shared" si="18"/>
        <v>0</v>
      </c>
      <c r="O35" s="222" t="str">
        <f t="shared" si="19"/>
        <v>-</v>
      </c>
      <c r="P35" s="191"/>
      <c r="Q35" s="450">
        <v>0</v>
      </c>
      <c r="R35" s="450">
        <v>0</v>
      </c>
      <c r="S35" s="452">
        <f t="shared" si="20"/>
        <v>0</v>
      </c>
      <c r="T35" s="223" t="str">
        <f t="shared" si="21"/>
        <v>-</v>
      </c>
      <c r="U35" s="191"/>
      <c r="V35" s="450">
        <f t="shared" si="22"/>
        <v>0</v>
      </c>
      <c r="W35" s="451">
        <f t="shared" si="22"/>
        <v>0</v>
      </c>
      <c r="X35" s="452">
        <f t="shared" si="23"/>
        <v>0</v>
      </c>
      <c r="Y35" s="222" t="str">
        <f t="shared" si="24"/>
        <v>-</v>
      </c>
      <c r="Z35" s="188"/>
      <c r="AA35" s="450">
        <v>0</v>
      </c>
      <c r="AB35" s="451">
        <f t="shared" si="25"/>
        <v>0</v>
      </c>
      <c r="AC35" s="222" t="str">
        <f t="shared" si="26"/>
        <v>-</v>
      </c>
      <c r="AD35" s="191"/>
      <c r="AE35" s="851"/>
    </row>
    <row r="36" spans="1:31" x14ac:dyDescent="0.3">
      <c r="A36" s="190" t="s">
        <v>106</v>
      </c>
      <c r="B36" s="450">
        <v>6000</v>
      </c>
      <c r="C36" s="451">
        <v>6002.75</v>
      </c>
      <c r="D36" s="452">
        <f t="shared" si="14"/>
        <v>2.75</v>
      </c>
      <c r="E36" s="220">
        <f t="shared" si="15"/>
        <v>4.5833333333333332E-4</v>
      </c>
      <c r="F36" s="256"/>
      <c r="G36" s="450">
        <v>6000</v>
      </c>
      <c r="H36" s="451">
        <v>6002.75</v>
      </c>
      <c r="I36" s="452">
        <f t="shared" si="16"/>
        <v>2.75</v>
      </c>
      <c r="J36" s="221">
        <f t="shared" si="17"/>
        <v>4.5833333333333332E-4</v>
      </c>
      <c r="K36" s="256"/>
      <c r="L36" s="450">
        <v>6000</v>
      </c>
      <c r="M36" s="464">
        <v>6002.75</v>
      </c>
      <c r="N36" s="452">
        <f t="shared" si="18"/>
        <v>2.75</v>
      </c>
      <c r="O36" s="222">
        <f t="shared" si="19"/>
        <v>4.5833333333333332E-4</v>
      </c>
      <c r="P36" s="256"/>
      <c r="Q36" s="450">
        <v>6000</v>
      </c>
      <c r="R36" s="450">
        <v>6002.75</v>
      </c>
      <c r="S36" s="452">
        <f t="shared" si="20"/>
        <v>2.75</v>
      </c>
      <c r="T36" s="223">
        <f t="shared" si="21"/>
        <v>4.5833333333333332E-4</v>
      </c>
      <c r="U36" s="256"/>
      <c r="V36" s="450">
        <f t="shared" si="22"/>
        <v>24000</v>
      </c>
      <c r="W36" s="451">
        <f t="shared" si="22"/>
        <v>24011</v>
      </c>
      <c r="X36" s="452">
        <f t="shared" si="23"/>
        <v>11</v>
      </c>
      <c r="Y36" s="222">
        <f t="shared" si="24"/>
        <v>4.5833333333333332E-4</v>
      </c>
      <c r="Z36" s="257"/>
      <c r="AA36" s="485">
        <v>24000</v>
      </c>
      <c r="AB36" s="451">
        <f t="shared" si="25"/>
        <v>-11</v>
      </c>
      <c r="AC36" s="222">
        <f t="shared" si="26"/>
        <v>-4.5833333333333332E-4</v>
      </c>
      <c r="AD36" s="256"/>
      <c r="AE36" s="850"/>
    </row>
    <row r="37" spans="1:31" x14ac:dyDescent="0.3">
      <c r="A37" s="190" t="s">
        <v>80</v>
      </c>
      <c r="B37" s="450">
        <v>0</v>
      </c>
      <c r="C37" s="451">
        <v>0</v>
      </c>
      <c r="D37" s="452">
        <f t="shared" si="14"/>
        <v>0</v>
      </c>
      <c r="E37" s="220" t="str">
        <f t="shared" si="15"/>
        <v>-</v>
      </c>
      <c r="F37" s="256"/>
      <c r="G37" s="450">
        <v>0</v>
      </c>
      <c r="H37" s="451">
        <v>0</v>
      </c>
      <c r="I37" s="452">
        <f t="shared" si="16"/>
        <v>0</v>
      </c>
      <c r="J37" s="221" t="str">
        <f t="shared" si="17"/>
        <v>-</v>
      </c>
      <c r="K37" s="256"/>
      <c r="L37" s="450">
        <v>0</v>
      </c>
      <c r="M37" s="464">
        <v>0</v>
      </c>
      <c r="N37" s="452">
        <f t="shared" si="18"/>
        <v>0</v>
      </c>
      <c r="O37" s="222" t="str">
        <f t="shared" si="19"/>
        <v>-</v>
      </c>
      <c r="P37" s="256"/>
      <c r="Q37" s="450">
        <v>0</v>
      </c>
      <c r="R37" s="450">
        <v>0</v>
      </c>
      <c r="S37" s="452">
        <f t="shared" si="20"/>
        <v>0</v>
      </c>
      <c r="T37" s="223" t="str">
        <f t="shared" si="21"/>
        <v>-</v>
      </c>
      <c r="U37" s="256"/>
      <c r="V37" s="450">
        <f t="shared" si="22"/>
        <v>0</v>
      </c>
      <c r="W37" s="451">
        <f t="shared" si="22"/>
        <v>0</v>
      </c>
      <c r="X37" s="452">
        <f t="shared" si="23"/>
        <v>0</v>
      </c>
      <c r="Y37" s="222" t="str">
        <f t="shared" si="24"/>
        <v>-</v>
      </c>
      <c r="Z37" s="257"/>
      <c r="AA37" s="450">
        <v>0</v>
      </c>
      <c r="AB37" s="451">
        <f t="shared" si="25"/>
        <v>0</v>
      </c>
      <c r="AC37" s="222" t="str">
        <f t="shared" si="26"/>
        <v>-</v>
      </c>
      <c r="AD37" s="256"/>
      <c r="AE37" s="850"/>
    </row>
    <row r="38" spans="1:31" x14ac:dyDescent="0.3">
      <c r="A38" s="190" t="s">
        <v>130</v>
      </c>
      <c r="B38" s="450">
        <v>7044.75</v>
      </c>
      <c r="C38" s="451">
        <v>6820.8</v>
      </c>
      <c r="D38" s="452">
        <f t="shared" si="14"/>
        <v>-223.94999999999982</v>
      </c>
      <c r="E38" s="220">
        <f t="shared" si="15"/>
        <v>-3.1789630575960799E-2</v>
      </c>
      <c r="F38" s="191"/>
      <c r="G38" s="450">
        <v>7044.75</v>
      </c>
      <c r="H38" s="451">
        <v>6667</v>
      </c>
      <c r="I38" s="452">
        <f t="shared" si="16"/>
        <v>-377.75</v>
      </c>
      <c r="J38" s="221">
        <f t="shared" si="17"/>
        <v>-5.3621491181376199E-2</v>
      </c>
      <c r="K38" s="191"/>
      <c r="L38" s="450">
        <v>7044.75</v>
      </c>
      <c r="M38" s="464">
        <v>6667</v>
      </c>
      <c r="N38" s="452">
        <f t="shared" si="18"/>
        <v>-377.75</v>
      </c>
      <c r="O38" s="222">
        <f t="shared" si="19"/>
        <v>-5.3621491181376199E-2</v>
      </c>
      <c r="P38" s="191"/>
      <c r="Q38" s="450">
        <v>7044.75</v>
      </c>
      <c r="R38" s="450">
        <v>7194.87</v>
      </c>
      <c r="S38" s="452">
        <f t="shared" si="20"/>
        <v>150.11999999999989</v>
      </c>
      <c r="T38" s="223">
        <f t="shared" si="21"/>
        <v>2.130948578728839E-2</v>
      </c>
      <c r="U38" s="191"/>
      <c r="V38" s="450">
        <f t="shared" si="22"/>
        <v>28179</v>
      </c>
      <c r="W38" s="451">
        <f t="shared" si="22"/>
        <v>27349.67</v>
      </c>
      <c r="X38" s="452">
        <f t="shared" si="23"/>
        <v>-829.33000000000175</v>
      </c>
      <c r="Y38" s="222">
        <f t="shared" si="24"/>
        <v>-2.9430781787856266E-2</v>
      </c>
      <c r="Z38" s="188"/>
      <c r="AA38" s="450">
        <v>28179</v>
      </c>
      <c r="AB38" s="451">
        <f t="shared" si="25"/>
        <v>829.33000000000175</v>
      </c>
      <c r="AC38" s="222">
        <f t="shared" si="26"/>
        <v>2.9430781787856266E-2</v>
      </c>
      <c r="AD38" s="191"/>
      <c r="AE38" s="851"/>
    </row>
    <row r="39" spans="1:31" x14ac:dyDescent="0.3">
      <c r="A39" s="190" t="s">
        <v>129</v>
      </c>
      <c r="B39" s="450">
        <v>0</v>
      </c>
      <c r="C39" s="451">
        <v>0</v>
      </c>
      <c r="D39" s="452">
        <f t="shared" si="14"/>
        <v>0</v>
      </c>
      <c r="E39" s="220" t="str">
        <f t="shared" si="15"/>
        <v>-</v>
      </c>
      <c r="F39" s="191"/>
      <c r="G39" s="450">
        <v>0</v>
      </c>
      <c r="H39" s="451">
        <v>0</v>
      </c>
      <c r="I39" s="452">
        <f t="shared" si="16"/>
        <v>0</v>
      </c>
      <c r="J39" s="221" t="str">
        <f t="shared" si="17"/>
        <v>-</v>
      </c>
      <c r="K39" s="191"/>
      <c r="L39" s="450">
        <v>0</v>
      </c>
      <c r="M39" s="464">
        <v>0</v>
      </c>
      <c r="N39" s="452">
        <f t="shared" si="18"/>
        <v>0</v>
      </c>
      <c r="O39" s="222" t="str">
        <f t="shared" si="19"/>
        <v>-</v>
      </c>
      <c r="P39" s="191"/>
      <c r="Q39" s="450">
        <v>0</v>
      </c>
      <c r="R39" s="450">
        <v>0</v>
      </c>
      <c r="S39" s="452">
        <f t="shared" si="20"/>
        <v>0</v>
      </c>
      <c r="T39" s="223" t="str">
        <f t="shared" si="21"/>
        <v>-</v>
      </c>
      <c r="U39" s="191"/>
      <c r="V39" s="450">
        <f t="shared" si="22"/>
        <v>0</v>
      </c>
      <c r="W39" s="451">
        <f t="shared" si="22"/>
        <v>0</v>
      </c>
      <c r="X39" s="452">
        <f t="shared" si="23"/>
        <v>0</v>
      </c>
      <c r="Y39" s="222" t="str">
        <f t="shared" si="24"/>
        <v>-</v>
      </c>
      <c r="Z39" s="188"/>
      <c r="AA39" s="450">
        <v>0</v>
      </c>
      <c r="AB39" s="451">
        <f t="shared" si="25"/>
        <v>0</v>
      </c>
      <c r="AC39" s="222" t="str">
        <f t="shared" si="26"/>
        <v>-</v>
      </c>
      <c r="AD39" s="191"/>
      <c r="AE39" s="851"/>
    </row>
    <row r="40" spans="1:31" x14ac:dyDescent="0.3">
      <c r="A40" s="258" t="s">
        <v>40</v>
      </c>
      <c r="B40" s="450">
        <v>0</v>
      </c>
      <c r="C40" s="451">
        <v>0</v>
      </c>
      <c r="D40" s="452">
        <f t="shared" si="14"/>
        <v>0</v>
      </c>
      <c r="E40" s="259" t="str">
        <f t="shared" si="15"/>
        <v>-</v>
      </c>
      <c r="F40" s="184"/>
      <c r="G40" s="450">
        <v>0</v>
      </c>
      <c r="H40" s="451">
        <v>0</v>
      </c>
      <c r="I40" s="452">
        <f t="shared" si="16"/>
        <v>0</v>
      </c>
      <c r="J40" s="260" t="str">
        <f t="shared" si="17"/>
        <v>-</v>
      </c>
      <c r="K40" s="184"/>
      <c r="L40" s="450">
        <v>0</v>
      </c>
      <c r="M40" s="464">
        <v>0</v>
      </c>
      <c r="N40" s="452">
        <f t="shared" si="18"/>
        <v>0</v>
      </c>
      <c r="O40" s="261" t="str">
        <f t="shared" si="19"/>
        <v>-</v>
      </c>
      <c r="P40" s="184"/>
      <c r="Q40" s="450">
        <v>0</v>
      </c>
      <c r="R40" s="450">
        <v>0</v>
      </c>
      <c r="S40" s="452">
        <f t="shared" si="20"/>
        <v>0</v>
      </c>
      <c r="T40" s="234" t="str">
        <f t="shared" si="21"/>
        <v>-</v>
      </c>
      <c r="U40" s="184"/>
      <c r="V40" s="477">
        <f t="shared" si="22"/>
        <v>0</v>
      </c>
      <c r="W40" s="478">
        <f t="shared" si="22"/>
        <v>0</v>
      </c>
      <c r="X40" s="452">
        <f t="shared" si="23"/>
        <v>0</v>
      </c>
      <c r="Y40" s="261" t="str">
        <f t="shared" si="24"/>
        <v>-</v>
      </c>
      <c r="Z40" s="188"/>
      <c r="AA40" s="477">
        <v>0</v>
      </c>
      <c r="AB40" s="478">
        <f t="shared" si="25"/>
        <v>0</v>
      </c>
      <c r="AC40" s="261" t="str">
        <f t="shared" si="26"/>
        <v>-</v>
      </c>
      <c r="AD40" s="184"/>
      <c r="AE40" s="851"/>
    </row>
    <row r="41" spans="1:31" x14ac:dyDescent="0.3">
      <c r="A41" s="199" t="s">
        <v>83</v>
      </c>
      <c r="B41" s="469">
        <f>SUM(B33:B40)</f>
        <v>148454.25</v>
      </c>
      <c r="C41" s="470">
        <f>SUM(C33:C40)</f>
        <v>145176.54999999999</v>
      </c>
      <c r="D41" s="470">
        <f>SUM(D33:D40)</f>
        <v>-3277.7</v>
      </c>
      <c r="E41" s="237">
        <f t="shared" si="15"/>
        <v>-2.2078855943834547E-2</v>
      </c>
      <c r="F41" s="191"/>
      <c r="G41" s="469">
        <f>SUM(G33:G40)</f>
        <v>148454.25</v>
      </c>
      <c r="H41" s="470">
        <f>SUM(H33:H40)</f>
        <v>145240.1</v>
      </c>
      <c r="I41" s="470">
        <f>SUM(I33:I40)</f>
        <v>-3214.15</v>
      </c>
      <c r="J41" s="237">
        <f t="shared" si="17"/>
        <v>-2.1650777933269003E-2</v>
      </c>
      <c r="K41" s="191"/>
      <c r="L41" s="469">
        <f>SUM(L33:L40)</f>
        <v>148454.25</v>
      </c>
      <c r="M41" s="470">
        <f>SUM(M33:M40)</f>
        <v>145946.49</v>
      </c>
      <c r="N41" s="470">
        <f>SUM(N33:N40)</f>
        <v>-2507.7600000000002</v>
      </c>
      <c r="O41" s="238">
        <f t="shared" si="19"/>
        <v>-1.6892476975229744E-2</v>
      </c>
      <c r="P41" s="191"/>
      <c r="Q41" s="469">
        <f>SUM(Q33:Q40)</f>
        <v>148454.25</v>
      </c>
      <c r="R41" s="470">
        <f>SUM(R33:R40)</f>
        <v>192146.53999999998</v>
      </c>
      <c r="S41" s="470">
        <f>SUM(S33:S40)</f>
        <v>43692.289999999994</v>
      </c>
      <c r="T41" s="238">
        <f t="shared" si="21"/>
        <v>0.29431484784032785</v>
      </c>
      <c r="U41" s="191"/>
      <c r="V41" s="469">
        <f>SUM(V33:V40)</f>
        <v>593817</v>
      </c>
      <c r="W41" s="470">
        <f>SUM(W33:W40)</f>
        <v>628509.68000000005</v>
      </c>
      <c r="X41" s="470">
        <f>SUM(X33:X40)</f>
        <v>34692.679999999964</v>
      </c>
      <c r="Y41" s="238">
        <f t="shared" si="24"/>
        <v>5.8423184246998591E-2</v>
      </c>
      <c r="Z41" s="188"/>
      <c r="AA41" s="471">
        <f>SUM(AA33:AA40)</f>
        <v>593817</v>
      </c>
      <c r="AB41" s="472">
        <f>SUM(AB33:AB40)</f>
        <v>-34692.679999999964</v>
      </c>
      <c r="AC41" s="264">
        <f t="shared" si="26"/>
        <v>-5.8423184246998591E-2</v>
      </c>
      <c r="AD41" s="191"/>
      <c r="AE41" s="852"/>
    </row>
    <row r="42" spans="1:31" x14ac:dyDescent="0.3">
      <c r="A42" s="242"/>
      <c r="B42" s="459"/>
      <c r="C42" s="460"/>
      <c r="D42" s="460"/>
      <c r="E42" s="213"/>
      <c r="F42" s="184"/>
      <c r="G42" s="461"/>
      <c r="H42" s="462"/>
      <c r="I42" s="462"/>
      <c r="J42" s="216"/>
      <c r="K42" s="184"/>
      <c r="L42" s="459"/>
      <c r="M42" s="460"/>
      <c r="N42" s="460"/>
      <c r="O42" s="217"/>
      <c r="P42" s="184"/>
      <c r="Q42" s="461"/>
      <c r="R42" s="462"/>
      <c r="S42" s="462"/>
      <c r="T42" s="265"/>
      <c r="U42" s="184"/>
      <c r="V42" s="459"/>
      <c r="W42" s="460"/>
      <c r="X42" s="460"/>
      <c r="Y42" s="217"/>
      <c r="Z42" s="188"/>
      <c r="AA42" s="459"/>
      <c r="AB42" s="460"/>
      <c r="AC42" s="217"/>
      <c r="AD42" s="184"/>
      <c r="AE42" s="850"/>
    </row>
    <row r="43" spans="1:31" x14ac:dyDescent="0.3">
      <c r="A43" s="172" t="s">
        <v>84</v>
      </c>
      <c r="B43" s="481"/>
      <c r="C43" s="482"/>
      <c r="D43" s="482"/>
      <c r="E43" s="268"/>
      <c r="F43" s="175"/>
      <c r="G43" s="483"/>
      <c r="H43" s="484"/>
      <c r="I43" s="484"/>
      <c r="J43" s="271"/>
      <c r="K43" s="175"/>
      <c r="L43" s="481"/>
      <c r="M43" s="482"/>
      <c r="N43" s="482"/>
      <c r="O43" s="272"/>
      <c r="P43" s="175"/>
      <c r="Q43" s="483"/>
      <c r="R43" s="484"/>
      <c r="S43" s="484"/>
      <c r="T43" s="273"/>
      <c r="U43" s="175"/>
      <c r="V43" s="481"/>
      <c r="W43" s="482"/>
      <c r="X43" s="451"/>
      <c r="Y43" s="225"/>
      <c r="Z43" s="179"/>
      <c r="AA43" s="481"/>
      <c r="AB43" s="451"/>
      <c r="AC43" s="225"/>
      <c r="AD43" s="175"/>
      <c r="AE43" s="850"/>
    </row>
    <row r="44" spans="1:31" x14ac:dyDescent="0.3">
      <c r="A44" s="190" t="s">
        <v>85</v>
      </c>
      <c r="B44" s="450">
        <v>1000</v>
      </c>
      <c r="C44" s="451">
        <v>0</v>
      </c>
      <c r="D44" s="452">
        <f t="shared" ref="D44:D75" si="27">C44-B44</f>
        <v>-1000</v>
      </c>
      <c r="E44" s="220">
        <f t="shared" ref="E44:E76" si="28">IF(ISERROR(D44/B44),"-",D44/B44)</f>
        <v>-1</v>
      </c>
      <c r="F44" s="191"/>
      <c r="G44" s="463">
        <v>1000</v>
      </c>
      <c r="H44" s="464">
        <v>0</v>
      </c>
      <c r="I44" s="452">
        <f t="shared" ref="I44:I75" si="29">H44-G44</f>
        <v>-1000</v>
      </c>
      <c r="J44" s="221">
        <f t="shared" ref="J44:J75" si="30">IF(ISERROR(I44/G44),"-",I44/G44)</f>
        <v>-1</v>
      </c>
      <c r="K44" s="191"/>
      <c r="L44" s="450">
        <v>1000</v>
      </c>
      <c r="M44" s="450">
        <v>2059.31</v>
      </c>
      <c r="N44" s="452">
        <f t="shared" ref="N44:N75" si="31">M44-L44</f>
        <v>1059.31</v>
      </c>
      <c r="O44" s="222">
        <f t="shared" ref="O44:O72" si="32">IF(ISERROR(N44/L44),"-",N44/L44)</f>
        <v>1.05931</v>
      </c>
      <c r="P44" s="191"/>
      <c r="Q44" s="450">
        <v>1000</v>
      </c>
      <c r="R44" s="450">
        <v>134.41</v>
      </c>
      <c r="S44" s="452">
        <f t="shared" ref="S44:S75" si="33">R44-Q44</f>
        <v>-865.59</v>
      </c>
      <c r="T44" s="223">
        <f t="shared" ref="T44:T72" si="34">IF(ISERROR(S44/Q44),"-",S44/Q44)</f>
        <v>-0.86559000000000008</v>
      </c>
      <c r="U44" s="191"/>
      <c r="V44" s="450">
        <f t="shared" ref="V44:W75" si="35">B44+G44+L44+Q44</f>
        <v>4000</v>
      </c>
      <c r="W44" s="451">
        <f t="shared" si="35"/>
        <v>2193.7199999999998</v>
      </c>
      <c r="X44" s="452">
        <f t="shared" ref="X44:X75" si="36">W44-V44</f>
        <v>-1806.2800000000002</v>
      </c>
      <c r="Y44" s="222">
        <f t="shared" ref="Y44:Y76" si="37">IF(ISERROR(X44/V44),"-",X44/V44)</f>
        <v>-0.45157000000000003</v>
      </c>
      <c r="Z44" s="188"/>
      <c r="AA44" s="450">
        <v>4000</v>
      </c>
      <c r="AB44" s="451">
        <f>AA44-W44</f>
        <v>1806.2800000000002</v>
      </c>
      <c r="AC44" s="222">
        <f>IF(ISERROR(AB44/AA44),"-",AB44/AA44)</f>
        <v>0.45157000000000003</v>
      </c>
      <c r="AD44" s="191"/>
      <c r="AE44" s="853"/>
    </row>
    <row r="45" spans="1:31" x14ac:dyDescent="0.3">
      <c r="A45" s="190" t="s">
        <v>128</v>
      </c>
      <c r="B45" s="450">
        <v>0</v>
      </c>
      <c r="C45" s="451">
        <v>0</v>
      </c>
      <c r="D45" s="452">
        <f t="shared" si="27"/>
        <v>0</v>
      </c>
      <c r="E45" s="220" t="str">
        <f t="shared" si="28"/>
        <v>-</v>
      </c>
      <c r="F45" s="256"/>
      <c r="G45" s="463">
        <v>0</v>
      </c>
      <c r="H45" s="464">
        <v>0</v>
      </c>
      <c r="I45" s="452">
        <f t="shared" si="29"/>
        <v>0</v>
      </c>
      <c r="J45" s="221" t="str">
        <f t="shared" si="30"/>
        <v>-</v>
      </c>
      <c r="K45" s="256"/>
      <c r="L45" s="450">
        <v>0</v>
      </c>
      <c r="M45" s="450">
        <v>0</v>
      </c>
      <c r="N45" s="452">
        <f t="shared" si="31"/>
        <v>0</v>
      </c>
      <c r="O45" s="222" t="str">
        <f t="shared" si="32"/>
        <v>-</v>
      </c>
      <c r="P45" s="256"/>
      <c r="Q45" s="450">
        <v>0</v>
      </c>
      <c r="R45" s="450">
        <v>0</v>
      </c>
      <c r="S45" s="452">
        <f t="shared" si="33"/>
        <v>0</v>
      </c>
      <c r="T45" s="223" t="str">
        <f t="shared" si="34"/>
        <v>-</v>
      </c>
      <c r="U45" s="256"/>
      <c r="V45" s="450">
        <f t="shared" si="35"/>
        <v>0</v>
      </c>
      <c r="W45" s="451">
        <f t="shared" si="35"/>
        <v>0</v>
      </c>
      <c r="X45" s="452">
        <f t="shared" si="36"/>
        <v>0</v>
      </c>
      <c r="Y45" s="222" t="str">
        <f t="shared" si="37"/>
        <v>-</v>
      </c>
      <c r="Z45" s="257"/>
      <c r="AA45" s="450">
        <v>7000</v>
      </c>
      <c r="AB45" s="451">
        <f t="shared" ref="AB45:AB75" si="38">AA45-W45</f>
        <v>7000</v>
      </c>
      <c r="AC45" s="222">
        <f t="shared" ref="AC45:AC75" si="39">IF(ISERROR(AB45/AA45),"-",AB45/AA45)</f>
        <v>1</v>
      </c>
      <c r="AD45" s="256"/>
      <c r="AE45" s="850"/>
    </row>
    <row r="46" spans="1:31" x14ac:dyDescent="0.3">
      <c r="A46" s="190" t="s">
        <v>127</v>
      </c>
      <c r="B46" s="450">
        <v>0</v>
      </c>
      <c r="C46" s="451">
        <v>0</v>
      </c>
      <c r="D46" s="452">
        <f t="shared" si="27"/>
        <v>0</v>
      </c>
      <c r="E46" s="220" t="str">
        <f t="shared" si="28"/>
        <v>-</v>
      </c>
      <c r="F46" s="256"/>
      <c r="G46" s="463">
        <v>0</v>
      </c>
      <c r="H46" s="464">
        <v>0</v>
      </c>
      <c r="I46" s="452">
        <f t="shared" si="29"/>
        <v>0</v>
      </c>
      <c r="J46" s="221" t="str">
        <f t="shared" si="30"/>
        <v>-</v>
      </c>
      <c r="K46" s="256"/>
      <c r="L46" s="450">
        <v>0</v>
      </c>
      <c r="M46" s="450">
        <v>0</v>
      </c>
      <c r="N46" s="452">
        <f t="shared" si="31"/>
        <v>0</v>
      </c>
      <c r="O46" s="222" t="str">
        <f t="shared" si="32"/>
        <v>-</v>
      </c>
      <c r="P46" s="256"/>
      <c r="Q46" s="450">
        <v>0</v>
      </c>
      <c r="R46" s="450">
        <v>0</v>
      </c>
      <c r="S46" s="452">
        <f t="shared" si="33"/>
        <v>0</v>
      </c>
      <c r="T46" s="223" t="str">
        <f t="shared" si="34"/>
        <v>-</v>
      </c>
      <c r="U46" s="256"/>
      <c r="V46" s="450">
        <f t="shared" si="35"/>
        <v>0</v>
      </c>
      <c r="W46" s="451">
        <f t="shared" si="35"/>
        <v>0</v>
      </c>
      <c r="X46" s="452">
        <f t="shared" si="36"/>
        <v>0</v>
      </c>
      <c r="Y46" s="222" t="str">
        <f t="shared" si="37"/>
        <v>-</v>
      </c>
      <c r="Z46" s="257"/>
      <c r="AA46" s="450">
        <v>0</v>
      </c>
      <c r="AB46" s="451">
        <f t="shared" si="38"/>
        <v>0</v>
      </c>
      <c r="AC46" s="222" t="str">
        <f t="shared" si="39"/>
        <v>-</v>
      </c>
      <c r="AD46" s="256"/>
      <c r="AE46" s="850"/>
    </row>
    <row r="47" spans="1:31" x14ac:dyDescent="0.3">
      <c r="A47" s="190" t="s">
        <v>86</v>
      </c>
      <c r="B47" s="450">
        <v>125</v>
      </c>
      <c r="C47" s="451">
        <v>0</v>
      </c>
      <c r="D47" s="452">
        <f t="shared" si="27"/>
        <v>-125</v>
      </c>
      <c r="E47" s="220">
        <f t="shared" si="28"/>
        <v>-1</v>
      </c>
      <c r="F47" s="256"/>
      <c r="G47" s="463">
        <v>125</v>
      </c>
      <c r="H47" s="464">
        <v>0</v>
      </c>
      <c r="I47" s="452">
        <f t="shared" si="29"/>
        <v>-125</v>
      </c>
      <c r="J47" s="221">
        <f t="shared" si="30"/>
        <v>-1</v>
      </c>
      <c r="K47" s="256"/>
      <c r="L47" s="450">
        <v>125</v>
      </c>
      <c r="M47" s="450">
        <v>0</v>
      </c>
      <c r="N47" s="452">
        <f t="shared" si="31"/>
        <v>-125</v>
      </c>
      <c r="O47" s="222">
        <f t="shared" si="32"/>
        <v>-1</v>
      </c>
      <c r="P47" s="256"/>
      <c r="Q47" s="450">
        <v>125</v>
      </c>
      <c r="R47" s="450">
        <v>0</v>
      </c>
      <c r="S47" s="452">
        <f t="shared" si="33"/>
        <v>-125</v>
      </c>
      <c r="T47" s="223">
        <f t="shared" si="34"/>
        <v>-1</v>
      </c>
      <c r="U47" s="256"/>
      <c r="V47" s="450">
        <f t="shared" si="35"/>
        <v>500</v>
      </c>
      <c r="W47" s="451">
        <f t="shared" si="35"/>
        <v>0</v>
      </c>
      <c r="X47" s="452">
        <f t="shared" si="36"/>
        <v>-500</v>
      </c>
      <c r="Y47" s="222">
        <f t="shared" si="37"/>
        <v>-1</v>
      </c>
      <c r="Z47" s="257"/>
      <c r="AA47" s="450">
        <v>500</v>
      </c>
      <c r="AB47" s="451">
        <f t="shared" si="38"/>
        <v>500</v>
      </c>
      <c r="AC47" s="222">
        <f t="shared" si="39"/>
        <v>1</v>
      </c>
      <c r="AD47" s="256"/>
      <c r="AE47" s="853"/>
    </row>
    <row r="48" spans="1:31" x14ac:dyDescent="0.3">
      <c r="A48" s="190" t="s">
        <v>87</v>
      </c>
      <c r="B48" s="450">
        <v>0</v>
      </c>
      <c r="C48" s="451">
        <v>0</v>
      </c>
      <c r="D48" s="452">
        <f t="shared" si="27"/>
        <v>0</v>
      </c>
      <c r="E48" s="220" t="str">
        <f t="shared" si="28"/>
        <v>-</v>
      </c>
      <c r="F48" s="256"/>
      <c r="G48" s="463">
        <v>0</v>
      </c>
      <c r="H48" s="464">
        <v>0</v>
      </c>
      <c r="I48" s="452">
        <f t="shared" si="29"/>
        <v>0</v>
      </c>
      <c r="J48" s="221" t="str">
        <f t="shared" si="30"/>
        <v>-</v>
      </c>
      <c r="K48" s="256"/>
      <c r="L48" s="450">
        <v>0</v>
      </c>
      <c r="M48" s="450">
        <v>0</v>
      </c>
      <c r="N48" s="452">
        <f t="shared" si="31"/>
        <v>0</v>
      </c>
      <c r="O48" s="222" t="str">
        <f t="shared" si="32"/>
        <v>-</v>
      </c>
      <c r="P48" s="256"/>
      <c r="Q48" s="450">
        <v>0</v>
      </c>
      <c r="R48" s="450">
        <v>0</v>
      </c>
      <c r="S48" s="452">
        <f t="shared" si="33"/>
        <v>0</v>
      </c>
      <c r="T48" s="223" t="str">
        <f t="shared" si="34"/>
        <v>-</v>
      </c>
      <c r="U48" s="256"/>
      <c r="V48" s="450">
        <f t="shared" si="35"/>
        <v>0</v>
      </c>
      <c r="W48" s="451">
        <f t="shared" si="35"/>
        <v>0</v>
      </c>
      <c r="X48" s="452">
        <f t="shared" si="36"/>
        <v>0</v>
      </c>
      <c r="Y48" s="222" t="str">
        <f t="shared" si="37"/>
        <v>-</v>
      </c>
      <c r="Z48" s="257"/>
      <c r="AA48" s="450">
        <v>0</v>
      </c>
      <c r="AB48" s="451">
        <f t="shared" si="38"/>
        <v>0</v>
      </c>
      <c r="AC48" s="222" t="str">
        <f t="shared" si="39"/>
        <v>-</v>
      </c>
      <c r="AD48" s="256"/>
      <c r="AE48" s="850"/>
    </row>
    <row r="49" spans="1:31" x14ac:dyDescent="0.3">
      <c r="A49" s="190" t="s">
        <v>88</v>
      </c>
      <c r="B49" s="450">
        <v>3750</v>
      </c>
      <c r="C49" s="451">
        <v>2653.52</v>
      </c>
      <c r="D49" s="452">
        <f t="shared" si="27"/>
        <v>-1096.48</v>
      </c>
      <c r="E49" s="220">
        <f t="shared" si="28"/>
        <v>-0.29239466666666669</v>
      </c>
      <c r="F49" s="191"/>
      <c r="G49" s="450">
        <v>3750</v>
      </c>
      <c r="H49" s="464">
        <v>1958.63</v>
      </c>
      <c r="I49" s="452">
        <f t="shared" si="29"/>
        <v>-1791.37</v>
      </c>
      <c r="J49" s="221">
        <f t="shared" si="30"/>
        <v>-0.47769866666666666</v>
      </c>
      <c r="K49" s="191"/>
      <c r="L49" s="450">
        <v>3750</v>
      </c>
      <c r="M49" s="450">
        <v>2496.8200000000002</v>
      </c>
      <c r="N49" s="452">
        <f t="shared" si="31"/>
        <v>-1253.1799999999998</v>
      </c>
      <c r="O49" s="222">
        <f t="shared" si="32"/>
        <v>-0.33418133333333327</v>
      </c>
      <c r="P49" s="191"/>
      <c r="Q49" s="450">
        <v>3750</v>
      </c>
      <c r="R49" s="450">
        <v>1893.09</v>
      </c>
      <c r="S49" s="452">
        <f t="shared" si="33"/>
        <v>-1856.91</v>
      </c>
      <c r="T49" s="223">
        <f t="shared" si="34"/>
        <v>-0.49517600000000001</v>
      </c>
      <c r="U49" s="191"/>
      <c r="V49" s="450">
        <f t="shared" si="35"/>
        <v>15000</v>
      </c>
      <c r="W49" s="451">
        <f t="shared" si="35"/>
        <v>9002.06</v>
      </c>
      <c r="X49" s="452">
        <f t="shared" si="36"/>
        <v>-5997.9400000000005</v>
      </c>
      <c r="Y49" s="222">
        <f t="shared" si="37"/>
        <v>-0.3998626666666667</v>
      </c>
      <c r="Z49" s="188"/>
      <c r="AA49" s="450">
        <v>15000</v>
      </c>
      <c r="AB49" s="451">
        <f t="shared" si="38"/>
        <v>5997.9400000000005</v>
      </c>
      <c r="AC49" s="222">
        <f t="shared" si="39"/>
        <v>0.3998626666666667</v>
      </c>
      <c r="AD49" s="191"/>
      <c r="AE49" s="853"/>
    </row>
    <row r="50" spans="1:31" x14ac:dyDescent="0.3">
      <c r="A50" s="190" t="s">
        <v>89</v>
      </c>
      <c r="B50" s="450">
        <v>0</v>
      </c>
      <c r="C50" s="451">
        <v>0</v>
      </c>
      <c r="D50" s="452">
        <f t="shared" si="27"/>
        <v>0</v>
      </c>
      <c r="E50" s="220" t="str">
        <f t="shared" si="28"/>
        <v>-</v>
      </c>
      <c r="F50" s="191"/>
      <c r="G50" s="463">
        <v>0</v>
      </c>
      <c r="H50" s="464">
        <v>0</v>
      </c>
      <c r="I50" s="452">
        <f t="shared" si="29"/>
        <v>0</v>
      </c>
      <c r="J50" s="221" t="str">
        <f t="shared" si="30"/>
        <v>-</v>
      </c>
      <c r="K50" s="191"/>
      <c r="L50" s="450">
        <v>0</v>
      </c>
      <c r="M50" s="450">
        <v>0</v>
      </c>
      <c r="N50" s="452">
        <f t="shared" si="31"/>
        <v>0</v>
      </c>
      <c r="O50" s="222" t="str">
        <f t="shared" si="32"/>
        <v>-</v>
      </c>
      <c r="P50" s="191"/>
      <c r="Q50" s="450">
        <v>0</v>
      </c>
      <c r="R50" s="450">
        <v>0</v>
      </c>
      <c r="S50" s="452">
        <f t="shared" si="33"/>
        <v>0</v>
      </c>
      <c r="T50" s="223" t="str">
        <f t="shared" si="34"/>
        <v>-</v>
      </c>
      <c r="U50" s="191"/>
      <c r="V50" s="450">
        <f t="shared" si="35"/>
        <v>0</v>
      </c>
      <c r="W50" s="451">
        <f t="shared" si="35"/>
        <v>0</v>
      </c>
      <c r="X50" s="452">
        <f t="shared" si="36"/>
        <v>0</v>
      </c>
      <c r="Y50" s="222" t="str">
        <f t="shared" si="37"/>
        <v>-</v>
      </c>
      <c r="Z50" s="188"/>
      <c r="AA50" s="450">
        <v>0</v>
      </c>
      <c r="AB50" s="451">
        <f t="shared" si="38"/>
        <v>0</v>
      </c>
      <c r="AC50" s="222" t="str">
        <f t="shared" si="39"/>
        <v>-</v>
      </c>
      <c r="AD50" s="191"/>
      <c r="AE50" s="853"/>
    </row>
    <row r="51" spans="1:31" x14ac:dyDescent="0.3">
      <c r="A51" s="190" t="s">
        <v>113</v>
      </c>
      <c r="B51" s="450"/>
      <c r="C51" s="451"/>
      <c r="D51" s="452">
        <f t="shared" si="27"/>
        <v>0</v>
      </c>
      <c r="E51" s="220"/>
      <c r="F51" s="191"/>
      <c r="G51" s="463"/>
      <c r="H51" s="464"/>
      <c r="I51" s="452">
        <f t="shared" si="29"/>
        <v>0</v>
      </c>
      <c r="J51" s="221"/>
      <c r="K51" s="191"/>
      <c r="L51" s="450"/>
      <c r="M51" s="450"/>
      <c r="N51" s="452">
        <f t="shared" si="31"/>
        <v>0</v>
      </c>
      <c r="O51" s="222" t="str">
        <f t="shared" si="32"/>
        <v>-</v>
      </c>
      <c r="P51" s="191"/>
      <c r="Q51" s="450">
        <v>0</v>
      </c>
      <c r="R51" s="450">
        <v>0</v>
      </c>
      <c r="S51" s="452">
        <f t="shared" si="33"/>
        <v>0</v>
      </c>
      <c r="T51" s="223" t="str">
        <f t="shared" si="34"/>
        <v>-</v>
      </c>
      <c r="U51" s="191"/>
      <c r="V51" s="450">
        <f>B51+G51+L51+Q51</f>
        <v>0</v>
      </c>
      <c r="W51" s="451">
        <f>C51+H51+M51+R51</f>
        <v>0</v>
      </c>
      <c r="X51" s="452">
        <f t="shared" si="36"/>
        <v>0</v>
      </c>
      <c r="Y51" s="222"/>
      <c r="Z51" s="188"/>
      <c r="AA51" s="450">
        <v>0</v>
      </c>
      <c r="AB51" s="451">
        <f t="shared" si="38"/>
        <v>0</v>
      </c>
      <c r="AC51" s="222" t="str">
        <f t="shared" si="39"/>
        <v>-</v>
      </c>
      <c r="AD51" s="191"/>
      <c r="AE51" s="853"/>
    </row>
    <row r="52" spans="1:31" x14ac:dyDescent="0.3">
      <c r="A52" s="190" t="s">
        <v>126</v>
      </c>
      <c r="B52" s="450">
        <v>0</v>
      </c>
      <c r="C52" s="451">
        <v>0</v>
      </c>
      <c r="D52" s="452">
        <f t="shared" si="27"/>
        <v>0</v>
      </c>
      <c r="E52" s="220" t="str">
        <f t="shared" si="28"/>
        <v>-</v>
      </c>
      <c r="F52" s="256"/>
      <c r="G52" s="463">
        <v>0</v>
      </c>
      <c r="H52" s="464">
        <v>0</v>
      </c>
      <c r="I52" s="452">
        <f t="shared" si="29"/>
        <v>0</v>
      </c>
      <c r="J52" s="221" t="str">
        <f t="shared" si="30"/>
        <v>-</v>
      </c>
      <c r="K52" s="256"/>
      <c r="L52" s="450">
        <v>0</v>
      </c>
      <c r="M52" s="450">
        <v>0</v>
      </c>
      <c r="N52" s="452">
        <f t="shared" si="31"/>
        <v>0</v>
      </c>
      <c r="O52" s="222" t="str">
        <f t="shared" si="32"/>
        <v>-</v>
      </c>
      <c r="P52" s="256"/>
      <c r="Q52" s="450">
        <v>0</v>
      </c>
      <c r="R52" s="450">
        <v>0</v>
      </c>
      <c r="S52" s="452">
        <f t="shared" si="33"/>
        <v>0</v>
      </c>
      <c r="T52" s="223" t="str">
        <f t="shared" si="34"/>
        <v>-</v>
      </c>
      <c r="U52" s="256"/>
      <c r="V52" s="450">
        <f t="shared" si="35"/>
        <v>0</v>
      </c>
      <c r="W52" s="451">
        <f t="shared" si="35"/>
        <v>0</v>
      </c>
      <c r="X52" s="452">
        <f t="shared" si="36"/>
        <v>0</v>
      </c>
      <c r="Y52" s="222" t="str">
        <f t="shared" si="37"/>
        <v>-</v>
      </c>
      <c r="Z52" s="257"/>
      <c r="AA52" s="450">
        <v>0</v>
      </c>
      <c r="AB52" s="451">
        <f t="shared" si="38"/>
        <v>0</v>
      </c>
      <c r="AC52" s="222" t="str">
        <f t="shared" si="39"/>
        <v>-</v>
      </c>
      <c r="AD52" s="256"/>
      <c r="AE52" s="850"/>
    </row>
    <row r="53" spans="1:31" x14ac:dyDescent="0.3">
      <c r="A53" s="190" t="s">
        <v>82</v>
      </c>
      <c r="B53" s="450">
        <v>0</v>
      </c>
      <c r="C53" s="451">
        <v>0</v>
      </c>
      <c r="D53" s="452">
        <f t="shared" si="27"/>
        <v>0</v>
      </c>
      <c r="E53" s="220" t="str">
        <f t="shared" si="28"/>
        <v>-</v>
      </c>
      <c r="F53" s="256"/>
      <c r="G53" s="463">
        <v>0</v>
      </c>
      <c r="H53" s="464">
        <v>0</v>
      </c>
      <c r="I53" s="452">
        <f t="shared" si="29"/>
        <v>0</v>
      </c>
      <c r="J53" s="221" t="str">
        <f t="shared" si="30"/>
        <v>-</v>
      </c>
      <c r="K53" s="256"/>
      <c r="L53" s="450">
        <v>0</v>
      </c>
      <c r="M53" s="450">
        <v>0</v>
      </c>
      <c r="N53" s="452">
        <f t="shared" si="31"/>
        <v>0</v>
      </c>
      <c r="O53" s="222" t="str">
        <f t="shared" si="32"/>
        <v>-</v>
      </c>
      <c r="P53" s="256"/>
      <c r="Q53" s="450">
        <v>0</v>
      </c>
      <c r="R53" s="450">
        <v>0</v>
      </c>
      <c r="S53" s="452">
        <f t="shared" si="33"/>
        <v>0</v>
      </c>
      <c r="T53" s="223" t="str">
        <f t="shared" si="34"/>
        <v>-</v>
      </c>
      <c r="U53" s="256"/>
      <c r="V53" s="450">
        <f t="shared" si="35"/>
        <v>0</v>
      </c>
      <c r="W53" s="451">
        <f t="shared" si="35"/>
        <v>0</v>
      </c>
      <c r="X53" s="452">
        <f t="shared" si="36"/>
        <v>0</v>
      </c>
      <c r="Y53" s="222" t="str">
        <f t="shared" si="37"/>
        <v>-</v>
      </c>
      <c r="Z53" s="257"/>
      <c r="AA53" s="450">
        <v>0</v>
      </c>
      <c r="AB53" s="451">
        <f t="shared" si="38"/>
        <v>0</v>
      </c>
      <c r="AC53" s="222" t="str">
        <f t="shared" si="39"/>
        <v>-</v>
      </c>
      <c r="AD53" s="256"/>
      <c r="AE53" s="851"/>
    </row>
    <row r="54" spans="1:31" x14ac:dyDescent="0.3">
      <c r="A54" s="190" t="s">
        <v>125</v>
      </c>
      <c r="B54" s="450">
        <v>0</v>
      </c>
      <c r="C54" s="451">
        <v>0</v>
      </c>
      <c r="D54" s="452">
        <f t="shared" si="27"/>
        <v>0</v>
      </c>
      <c r="E54" s="220"/>
      <c r="F54" s="256"/>
      <c r="G54" s="463">
        <v>0</v>
      </c>
      <c r="H54" s="464">
        <v>0</v>
      </c>
      <c r="I54" s="452">
        <f t="shared" si="29"/>
        <v>0</v>
      </c>
      <c r="J54" s="221"/>
      <c r="K54" s="256"/>
      <c r="L54" s="450">
        <v>0</v>
      </c>
      <c r="M54" s="450"/>
      <c r="N54" s="452">
        <f t="shared" si="31"/>
        <v>0</v>
      </c>
      <c r="O54" s="222"/>
      <c r="P54" s="256"/>
      <c r="Q54" s="450">
        <v>0</v>
      </c>
      <c r="R54" s="450">
        <v>0</v>
      </c>
      <c r="S54" s="452">
        <f t="shared" si="33"/>
        <v>0</v>
      </c>
      <c r="T54" s="223"/>
      <c r="U54" s="256"/>
      <c r="V54" s="450">
        <f t="shared" si="35"/>
        <v>0</v>
      </c>
      <c r="W54" s="451">
        <f t="shared" si="35"/>
        <v>0</v>
      </c>
      <c r="X54" s="452">
        <f t="shared" si="36"/>
        <v>0</v>
      </c>
      <c r="Y54" s="222"/>
      <c r="Z54" s="257"/>
      <c r="AA54" s="450">
        <v>0</v>
      </c>
      <c r="AB54" s="451">
        <f t="shared" si="38"/>
        <v>0</v>
      </c>
      <c r="AC54" s="222" t="str">
        <f t="shared" si="39"/>
        <v>-</v>
      </c>
      <c r="AD54" s="256"/>
      <c r="AE54" s="851"/>
    </row>
    <row r="55" spans="1:31" x14ac:dyDescent="0.3">
      <c r="A55" s="190" t="s">
        <v>90</v>
      </c>
      <c r="B55" s="450">
        <v>0</v>
      </c>
      <c r="C55" s="451">
        <v>0</v>
      </c>
      <c r="D55" s="452">
        <f t="shared" si="27"/>
        <v>0</v>
      </c>
      <c r="E55" s="220" t="str">
        <f t="shared" si="28"/>
        <v>-</v>
      </c>
      <c r="F55" s="256"/>
      <c r="G55" s="463">
        <v>0</v>
      </c>
      <c r="H55" s="464">
        <v>0</v>
      </c>
      <c r="I55" s="452">
        <f t="shared" si="29"/>
        <v>0</v>
      </c>
      <c r="J55" s="221" t="str">
        <f t="shared" si="30"/>
        <v>-</v>
      </c>
      <c r="K55" s="256"/>
      <c r="L55" s="450">
        <v>0</v>
      </c>
      <c r="M55" s="450">
        <v>0</v>
      </c>
      <c r="N55" s="452">
        <f t="shared" si="31"/>
        <v>0</v>
      </c>
      <c r="O55" s="222" t="str">
        <f t="shared" si="32"/>
        <v>-</v>
      </c>
      <c r="P55" s="256"/>
      <c r="Q55" s="450">
        <v>0</v>
      </c>
      <c r="R55" s="450">
        <v>0</v>
      </c>
      <c r="S55" s="452">
        <f t="shared" si="33"/>
        <v>0</v>
      </c>
      <c r="T55" s="223" t="str">
        <f t="shared" si="34"/>
        <v>-</v>
      </c>
      <c r="U55" s="256"/>
      <c r="V55" s="450">
        <f t="shared" si="35"/>
        <v>0</v>
      </c>
      <c r="W55" s="451">
        <f t="shared" si="35"/>
        <v>0</v>
      </c>
      <c r="X55" s="452">
        <f t="shared" si="36"/>
        <v>0</v>
      </c>
      <c r="Y55" s="222" t="str">
        <f t="shared" si="37"/>
        <v>-</v>
      </c>
      <c r="Z55" s="257"/>
      <c r="AA55" s="450">
        <v>0</v>
      </c>
      <c r="AB55" s="451">
        <v>0</v>
      </c>
      <c r="AC55" s="222" t="str">
        <f t="shared" si="39"/>
        <v>-</v>
      </c>
      <c r="AD55" s="256"/>
      <c r="AE55" s="851"/>
    </row>
    <row r="56" spans="1:31" x14ac:dyDescent="0.3">
      <c r="A56" s="190" t="s">
        <v>91</v>
      </c>
      <c r="B56" s="450">
        <v>1000</v>
      </c>
      <c r="C56" s="451">
        <v>0</v>
      </c>
      <c r="D56" s="452">
        <f t="shared" si="27"/>
        <v>-1000</v>
      </c>
      <c r="E56" s="220">
        <f t="shared" si="28"/>
        <v>-1</v>
      </c>
      <c r="F56" s="256"/>
      <c r="G56" s="463">
        <v>1000</v>
      </c>
      <c r="H56" s="464">
        <v>728.55</v>
      </c>
      <c r="I56" s="452">
        <f t="shared" si="29"/>
        <v>-271.45000000000005</v>
      </c>
      <c r="J56" s="221">
        <f t="shared" si="30"/>
        <v>-0.27145000000000002</v>
      </c>
      <c r="K56" s="256"/>
      <c r="L56" s="450">
        <v>1000</v>
      </c>
      <c r="M56" s="450">
        <v>0</v>
      </c>
      <c r="N56" s="452">
        <f t="shared" si="31"/>
        <v>-1000</v>
      </c>
      <c r="O56" s="222">
        <f t="shared" si="32"/>
        <v>-1</v>
      </c>
      <c r="P56" s="256"/>
      <c r="Q56" s="450">
        <v>1000</v>
      </c>
      <c r="R56" s="450">
        <v>3850.62</v>
      </c>
      <c r="S56" s="452">
        <f t="shared" si="33"/>
        <v>2850.62</v>
      </c>
      <c r="T56" s="223">
        <f t="shared" si="34"/>
        <v>2.8506199999999997</v>
      </c>
      <c r="U56" s="256"/>
      <c r="V56" s="450">
        <f t="shared" si="35"/>
        <v>4000</v>
      </c>
      <c r="W56" s="451">
        <f t="shared" si="35"/>
        <v>4579.17</v>
      </c>
      <c r="X56" s="452">
        <f t="shared" si="36"/>
        <v>579.17000000000007</v>
      </c>
      <c r="Y56" s="222">
        <f t="shared" si="37"/>
        <v>0.14479250000000002</v>
      </c>
      <c r="Z56" s="257"/>
      <c r="AA56" s="450">
        <v>5500</v>
      </c>
      <c r="AB56" s="451">
        <f t="shared" si="38"/>
        <v>920.82999999999993</v>
      </c>
      <c r="AC56" s="222">
        <f t="shared" si="39"/>
        <v>0.16742363636363636</v>
      </c>
      <c r="AD56" s="256"/>
      <c r="AE56" s="850"/>
    </row>
    <row r="57" spans="1:31" x14ac:dyDescent="0.3">
      <c r="A57" s="190" t="s">
        <v>92</v>
      </c>
      <c r="B57" s="450">
        <v>0</v>
      </c>
      <c r="C57" s="451">
        <v>0</v>
      </c>
      <c r="D57" s="452">
        <f t="shared" si="27"/>
        <v>0</v>
      </c>
      <c r="E57" s="220" t="str">
        <f t="shared" si="28"/>
        <v>-</v>
      </c>
      <c r="F57" s="256"/>
      <c r="G57" s="463">
        <v>5500</v>
      </c>
      <c r="H57" s="464">
        <v>0</v>
      </c>
      <c r="I57" s="452">
        <f t="shared" si="29"/>
        <v>-5500</v>
      </c>
      <c r="J57" s="221">
        <f t="shared" si="30"/>
        <v>-1</v>
      </c>
      <c r="K57" s="256"/>
      <c r="L57" s="450">
        <v>5500</v>
      </c>
      <c r="M57" s="450">
        <v>2810.05</v>
      </c>
      <c r="N57" s="452">
        <f t="shared" si="31"/>
        <v>-2689.95</v>
      </c>
      <c r="O57" s="222">
        <f t="shared" si="32"/>
        <v>-0.48908181818181817</v>
      </c>
      <c r="P57" s="256"/>
      <c r="Q57" s="450">
        <v>5500</v>
      </c>
      <c r="R57" s="450">
        <v>0</v>
      </c>
      <c r="S57" s="452">
        <f t="shared" si="33"/>
        <v>-5500</v>
      </c>
      <c r="T57" s="223">
        <f t="shared" si="34"/>
        <v>-1</v>
      </c>
      <c r="U57" s="256"/>
      <c r="V57" s="450">
        <f t="shared" si="35"/>
        <v>16500</v>
      </c>
      <c r="W57" s="451">
        <f t="shared" si="35"/>
        <v>2810.05</v>
      </c>
      <c r="X57" s="452">
        <f t="shared" si="36"/>
        <v>-13689.95</v>
      </c>
      <c r="Y57" s="222">
        <f t="shared" si="37"/>
        <v>-0.82969393939393943</v>
      </c>
      <c r="Z57" s="257"/>
      <c r="AA57" s="450">
        <v>5400</v>
      </c>
      <c r="AB57" s="451">
        <f t="shared" si="38"/>
        <v>2589.9499999999998</v>
      </c>
      <c r="AC57" s="222">
        <f t="shared" si="39"/>
        <v>0.47962037037037036</v>
      </c>
      <c r="AD57" s="256"/>
      <c r="AE57" s="850"/>
    </row>
    <row r="58" spans="1:31" x14ac:dyDescent="0.3">
      <c r="A58" s="190" t="s">
        <v>93</v>
      </c>
      <c r="B58" s="450">
        <v>1875</v>
      </c>
      <c r="C58" s="451">
        <v>0</v>
      </c>
      <c r="D58" s="452">
        <f t="shared" si="27"/>
        <v>-1875</v>
      </c>
      <c r="E58" s="220">
        <f t="shared" si="28"/>
        <v>-1</v>
      </c>
      <c r="F58" s="256"/>
      <c r="G58" s="463">
        <v>1875</v>
      </c>
      <c r="H58" s="464">
        <v>0</v>
      </c>
      <c r="I58" s="452">
        <f t="shared" si="29"/>
        <v>-1875</v>
      </c>
      <c r="J58" s="221">
        <f t="shared" si="30"/>
        <v>-1</v>
      </c>
      <c r="K58" s="256"/>
      <c r="L58" s="450">
        <v>1875</v>
      </c>
      <c r="M58" s="450">
        <v>4660.41</v>
      </c>
      <c r="N58" s="452">
        <f t="shared" si="31"/>
        <v>2785.41</v>
      </c>
      <c r="O58" s="222">
        <f t="shared" si="32"/>
        <v>1.485552</v>
      </c>
      <c r="P58" s="256"/>
      <c r="Q58" s="450">
        <v>1875</v>
      </c>
      <c r="R58" s="450">
        <v>1830.03</v>
      </c>
      <c r="S58" s="452">
        <f t="shared" si="33"/>
        <v>-44.970000000000027</v>
      </c>
      <c r="T58" s="223">
        <f t="shared" si="34"/>
        <v>-2.3984000000000016E-2</v>
      </c>
      <c r="U58" s="256"/>
      <c r="V58" s="450">
        <f t="shared" si="35"/>
        <v>7500</v>
      </c>
      <c r="W58" s="451">
        <f t="shared" si="35"/>
        <v>6490.44</v>
      </c>
      <c r="X58" s="452">
        <f t="shared" si="36"/>
        <v>-1009.5600000000004</v>
      </c>
      <c r="Y58" s="222">
        <f t="shared" si="37"/>
        <v>-0.13460800000000006</v>
      </c>
      <c r="Z58" s="257"/>
      <c r="AA58" s="450">
        <v>7500</v>
      </c>
      <c r="AB58" s="451">
        <f t="shared" si="38"/>
        <v>1009.5600000000004</v>
      </c>
      <c r="AC58" s="222">
        <f t="shared" si="39"/>
        <v>0.13460800000000006</v>
      </c>
      <c r="AD58" s="256"/>
      <c r="AE58" s="851"/>
    </row>
    <row r="59" spans="1:31" x14ac:dyDescent="0.3">
      <c r="A59" s="190" t="s">
        <v>94</v>
      </c>
      <c r="B59" s="450">
        <v>3125</v>
      </c>
      <c r="C59" s="451">
        <v>2892.96</v>
      </c>
      <c r="D59" s="452">
        <f t="shared" si="27"/>
        <v>-232.03999999999996</v>
      </c>
      <c r="E59" s="220">
        <f t="shared" si="28"/>
        <v>-7.4252799999999994E-2</v>
      </c>
      <c r="F59" s="256"/>
      <c r="G59" s="463">
        <v>3125</v>
      </c>
      <c r="H59" s="464">
        <v>2463.06</v>
      </c>
      <c r="I59" s="452">
        <f t="shared" si="29"/>
        <v>-661.94</v>
      </c>
      <c r="J59" s="221">
        <f t="shared" si="30"/>
        <v>-0.21182080000000003</v>
      </c>
      <c r="K59" s="256"/>
      <c r="L59" s="450">
        <v>3125</v>
      </c>
      <c r="M59" s="450">
        <v>2784.07</v>
      </c>
      <c r="N59" s="452">
        <f t="shared" si="31"/>
        <v>-340.92999999999984</v>
      </c>
      <c r="O59" s="222">
        <f t="shared" si="32"/>
        <v>-0.10909759999999995</v>
      </c>
      <c r="P59" s="256"/>
      <c r="Q59" s="450">
        <v>3125</v>
      </c>
      <c r="R59" s="450">
        <v>2727.59</v>
      </c>
      <c r="S59" s="452">
        <f t="shared" si="33"/>
        <v>-397.40999999999985</v>
      </c>
      <c r="T59" s="223">
        <f t="shared" si="34"/>
        <v>-0.12717119999999996</v>
      </c>
      <c r="U59" s="256"/>
      <c r="V59" s="450">
        <f t="shared" si="35"/>
        <v>12500</v>
      </c>
      <c r="W59" s="451">
        <f t="shared" si="35"/>
        <v>10867.68</v>
      </c>
      <c r="X59" s="452">
        <f t="shared" si="36"/>
        <v>-1632.3199999999997</v>
      </c>
      <c r="Y59" s="222">
        <f t="shared" si="37"/>
        <v>-0.13058559999999997</v>
      </c>
      <c r="Z59" s="257"/>
      <c r="AA59" s="450">
        <v>12500</v>
      </c>
      <c r="AB59" s="451">
        <f t="shared" si="38"/>
        <v>1632.3199999999997</v>
      </c>
      <c r="AC59" s="222">
        <f t="shared" si="39"/>
        <v>0.13058559999999997</v>
      </c>
      <c r="AD59" s="256"/>
      <c r="AE59" s="851"/>
    </row>
    <row r="60" spans="1:31" x14ac:dyDescent="0.3">
      <c r="A60" s="190" t="s">
        <v>95</v>
      </c>
      <c r="B60" s="450">
        <v>6875</v>
      </c>
      <c r="C60" s="451">
        <v>6770.32</v>
      </c>
      <c r="D60" s="452">
        <f t="shared" si="27"/>
        <v>-104.68000000000029</v>
      </c>
      <c r="E60" s="220">
        <f t="shared" si="28"/>
        <v>-1.5226181818181861E-2</v>
      </c>
      <c r="F60" s="191"/>
      <c r="G60" s="463">
        <v>6875</v>
      </c>
      <c r="H60" s="464">
        <v>13146.78</v>
      </c>
      <c r="I60" s="452">
        <f t="shared" si="29"/>
        <v>6271.7800000000007</v>
      </c>
      <c r="J60" s="221">
        <f t="shared" si="30"/>
        <v>0.91225890909090923</v>
      </c>
      <c r="K60" s="191"/>
      <c r="L60" s="450">
        <v>6875</v>
      </c>
      <c r="M60" s="450">
        <v>6136.42</v>
      </c>
      <c r="N60" s="452">
        <f t="shared" si="31"/>
        <v>-738.57999999999993</v>
      </c>
      <c r="O60" s="222">
        <f t="shared" si="32"/>
        <v>-0.10742981818181817</v>
      </c>
      <c r="P60" s="191"/>
      <c r="Q60" s="450">
        <v>6875</v>
      </c>
      <c r="R60" s="450">
        <v>4604.8500000000004</v>
      </c>
      <c r="S60" s="452">
        <f t="shared" si="33"/>
        <v>-2270.1499999999996</v>
      </c>
      <c r="T60" s="223">
        <f t="shared" si="34"/>
        <v>-0.33020363636363631</v>
      </c>
      <c r="U60" s="191"/>
      <c r="V60" s="450">
        <f t="shared" si="35"/>
        <v>27500</v>
      </c>
      <c r="W60" s="451">
        <f t="shared" si="35"/>
        <v>30658.369999999995</v>
      </c>
      <c r="X60" s="452">
        <f t="shared" si="36"/>
        <v>3158.3699999999953</v>
      </c>
      <c r="Y60" s="222">
        <f t="shared" si="37"/>
        <v>0.11484981818181801</v>
      </c>
      <c r="Z60" s="188"/>
      <c r="AA60" s="450">
        <v>27500</v>
      </c>
      <c r="AB60" s="451">
        <f t="shared" si="38"/>
        <v>-3158.3699999999953</v>
      </c>
      <c r="AC60" s="222">
        <f t="shared" si="39"/>
        <v>-0.11484981818181801</v>
      </c>
      <c r="AD60" s="191"/>
      <c r="AE60" s="851"/>
    </row>
    <row r="61" spans="1:31" x14ac:dyDescent="0.3">
      <c r="A61" s="190" t="s">
        <v>96</v>
      </c>
      <c r="B61" s="450">
        <v>2500</v>
      </c>
      <c r="C61" s="451">
        <v>1298.8399999999999</v>
      </c>
      <c r="D61" s="452">
        <f t="shared" si="27"/>
        <v>-1201.1600000000001</v>
      </c>
      <c r="E61" s="220">
        <f t="shared" si="28"/>
        <v>-0.48046400000000006</v>
      </c>
      <c r="F61" s="191"/>
      <c r="G61" s="450">
        <v>2500</v>
      </c>
      <c r="H61" s="464">
        <v>5419.22</v>
      </c>
      <c r="I61" s="452">
        <f t="shared" si="29"/>
        <v>2919.2200000000003</v>
      </c>
      <c r="J61" s="221">
        <f t="shared" si="30"/>
        <v>1.1676880000000001</v>
      </c>
      <c r="K61" s="191"/>
      <c r="L61" s="450">
        <v>2500</v>
      </c>
      <c r="M61" s="450">
        <v>1388.22</v>
      </c>
      <c r="N61" s="452">
        <f t="shared" si="31"/>
        <v>-1111.78</v>
      </c>
      <c r="O61" s="222">
        <f t="shared" si="32"/>
        <v>-0.444712</v>
      </c>
      <c r="P61" s="191"/>
      <c r="Q61" s="450">
        <v>2500</v>
      </c>
      <c r="R61" s="450">
        <v>64.16</v>
      </c>
      <c r="S61" s="452">
        <f t="shared" si="33"/>
        <v>-2435.84</v>
      </c>
      <c r="T61" s="223">
        <f t="shared" si="34"/>
        <v>-0.97433600000000009</v>
      </c>
      <c r="U61" s="191"/>
      <c r="V61" s="450">
        <f t="shared" si="35"/>
        <v>10000</v>
      </c>
      <c r="W61" s="451">
        <f t="shared" si="35"/>
        <v>8170.4400000000005</v>
      </c>
      <c r="X61" s="452">
        <f t="shared" si="36"/>
        <v>-1829.5599999999995</v>
      </c>
      <c r="Y61" s="222">
        <f t="shared" si="37"/>
        <v>-0.18295599999999995</v>
      </c>
      <c r="Z61" s="188"/>
      <c r="AA61" s="450">
        <v>10000</v>
      </c>
      <c r="AB61" s="451">
        <f>AA61-W61</f>
        <v>1829.5599999999995</v>
      </c>
      <c r="AC61" s="222">
        <f t="shared" si="39"/>
        <v>0.18295599999999995</v>
      </c>
      <c r="AD61" s="191"/>
      <c r="AE61" s="851"/>
    </row>
    <row r="62" spans="1:31" x14ac:dyDescent="0.3">
      <c r="A62" s="190" t="s">
        <v>110</v>
      </c>
      <c r="B62" s="450">
        <v>412136.5</v>
      </c>
      <c r="C62" s="451">
        <v>1016766.67</v>
      </c>
      <c r="D62" s="452">
        <f t="shared" si="27"/>
        <v>604630.17000000004</v>
      </c>
      <c r="E62" s="220">
        <f t="shared" si="28"/>
        <v>1.4670629027033519</v>
      </c>
      <c r="F62" s="191"/>
      <c r="G62" s="450">
        <v>412136.5</v>
      </c>
      <c r="H62" s="464">
        <v>721556.18</v>
      </c>
      <c r="I62" s="452">
        <f t="shared" si="29"/>
        <v>309419.68000000005</v>
      </c>
      <c r="J62" s="221">
        <f t="shared" si="30"/>
        <v>0.75076990269000698</v>
      </c>
      <c r="K62" s="191"/>
      <c r="L62" s="450">
        <v>412136.5</v>
      </c>
      <c r="M62" s="450">
        <v>490959.73</v>
      </c>
      <c r="N62" s="452">
        <f t="shared" si="31"/>
        <v>78823.229999999981</v>
      </c>
      <c r="O62" s="222">
        <f t="shared" si="32"/>
        <v>0.19125515454224506</v>
      </c>
      <c r="P62" s="191"/>
      <c r="Q62" s="450">
        <v>412136.5</v>
      </c>
      <c r="R62" s="450">
        <v>528985.84</v>
      </c>
      <c r="S62" s="452">
        <f t="shared" si="33"/>
        <v>116849.33999999997</v>
      </c>
      <c r="T62" s="223">
        <f t="shared" si="34"/>
        <v>0.28352096938756932</v>
      </c>
      <c r="U62" s="191"/>
      <c r="V62" s="450">
        <f t="shared" si="35"/>
        <v>1648546</v>
      </c>
      <c r="W62" s="451">
        <f t="shared" si="35"/>
        <v>2758268.42</v>
      </c>
      <c r="X62" s="452">
        <f t="shared" si="36"/>
        <v>1109722.42</v>
      </c>
      <c r="Y62" s="222">
        <f t="shared" si="37"/>
        <v>0.67315223233079324</v>
      </c>
      <c r="Z62" s="188"/>
      <c r="AA62" s="450">
        <v>1648546</v>
      </c>
      <c r="AB62" s="451">
        <f t="shared" si="38"/>
        <v>-1109722.42</v>
      </c>
      <c r="AC62" s="222">
        <f t="shared" si="39"/>
        <v>-0.67315223233079324</v>
      </c>
      <c r="AD62" s="191"/>
      <c r="AE62" s="851"/>
    </row>
    <row r="63" spans="1:31" x14ac:dyDescent="0.3">
      <c r="A63" s="190" t="s">
        <v>124</v>
      </c>
      <c r="B63" s="450">
        <v>1875</v>
      </c>
      <c r="C63" s="451">
        <v>0</v>
      </c>
      <c r="D63" s="452">
        <f t="shared" si="27"/>
        <v>-1875</v>
      </c>
      <c r="E63" s="220">
        <f t="shared" si="28"/>
        <v>-1</v>
      </c>
      <c r="F63" s="191"/>
      <c r="G63" s="463">
        <v>1875</v>
      </c>
      <c r="H63" s="464">
        <v>0</v>
      </c>
      <c r="I63" s="452">
        <f t="shared" si="29"/>
        <v>-1875</v>
      </c>
      <c r="J63" s="221">
        <f t="shared" si="30"/>
        <v>-1</v>
      </c>
      <c r="K63" s="191"/>
      <c r="L63" s="450">
        <v>1875</v>
      </c>
      <c r="M63" s="450">
        <v>0</v>
      </c>
      <c r="N63" s="452">
        <f t="shared" si="31"/>
        <v>-1875</v>
      </c>
      <c r="O63" s="222">
        <f t="shared" si="32"/>
        <v>-1</v>
      </c>
      <c r="P63" s="191"/>
      <c r="Q63" s="450">
        <v>1875</v>
      </c>
      <c r="R63" s="450">
        <v>0</v>
      </c>
      <c r="S63" s="452">
        <f t="shared" si="33"/>
        <v>-1875</v>
      </c>
      <c r="T63" s="223">
        <f t="shared" si="34"/>
        <v>-1</v>
      </c>
      <c r="U63" s="191"/>
      <c r="V63" s="450">
        <f t="shared" si="35"/>
        <v>7500</v>
      </c>
      <c r="W63" s="451">
        <f t="shared" si="35"/>
        <v>0</v>
      </c>
      <c r="X63" s="452">
        <f t="shared" si="36"/>
        <v>-7500</v>
      </c>
      <c r="Y63" s="222">
        <f t="shared" si="37"/>
        <v>-1</v>
      </c>
      <c r="Z63" s="188"/>
      <c r="AA63" s="450">
        <v>7500</v>
      </c>
      <c r="AB63" s="451">
        <f t="shared" si="38"/>
        <v>7500</v>
      </c>
      <c r="AC63" s="222">
        <f t="shared" si="39"/>
        <v>1</v>
      </c>
      <c r="AD63" s="191"/>
      <c r="AE63" s="851"/>
    </row>
    <row r="64" spans="1:31" x14ac:dyDescent="0.3">
      <c r="A64" s="190" t="s">
        <v>123</v>
      </c>
      <c r="B64" s="450">
        <v>0</v>
      </c>
      <c r="C64" s="451">
        <v>0</v>
      </c>
      <c r="D64" s="452">
        <f t="shared" si="27"/>
        <v>0</v>
      </c>
      <c r="E64" s="220" t="str">
        <f t="shared" si="28"/>
        <v>-</v>
      </c>
      <c r="F64" s="256"/>
      <c r="G64" s="463">
        <v>0</v>
      </c>
      <c r="H64" s="464">
        <v>0</v>
      </c>
      <c r="I64" s="452">
        <f t="shared" si="29"/>
        <v>0</v>
      </c>
      <c r="J64" s="221" t="str">
        <f t="shared" si="30"/>
        <v>-</v>
      </c>
      <c r="K64" s="256"/>
      <c r="L64" s="450">
        <v>0</v>
      </c>
      <c r="M64" s="450">
        <v>0</v>
      </c>
      <c r="N64" s="452">
        <f t="shared" si="31"/>
        <v>0</v>
      </c>
      <c r="O64" s="222" t="str">
        <f t="shared" si="32"/>
        <v>-</v>
      </c>
      <c r="P64" s="256"/>
      <c r="Q64" s="450">
        <v>0</v>
      </c>
      <c r="R64" s="450">
        <v>0</v>
      </c>
      <c r="S64" s="452">
        <f t="shared" si="33"/>
        <v>0</v>
      </c>
      <c r="T64" s="223" t="str">
        <f t="shared" si="34"/>
        <v>-</v>
      </c>
      <c r="U64" s="256"/>
      <c r="V64" s="450">
        <f t="shared" si="35"/>
        <v>0</v>
      </c>
      <c r="W64" s="451">
        <f t="shared" si="35"/>
        <v>0</v>
      </c>
      <c r="X64" s="452">
        <f t="shared" si="36"/>
        <v>0</v>
      </c>
      <c r="Y64" s="222" t="str">
        <f t="shared" si="37"/>
        <v>-</v>
      </c>
      <c r="Z64" s="257"/>
      <c r="AA64" s="450">
        <v>0</v>
      </c>
      <c r="AB64" s="451">
        <f t="shared" si="38"/>
        <v>0</v>
      </c>
      <c r="AC64" s="222" t="str">
        <f t="shared" si="39"/>
        <v>-</v>
      </c>
      <c r="AD64" s="256"/>
      <c r="AE64" s="851"/>
    </row>
    <row r="65" spans="1:31" x14ac:dyDescent="0.3">
      <c r="A65" s="190" t="s">
        <v>122</v>
      </c>
      <c r="B65" s="450">
        <v>0</v>
      </c>
      <c r="C65" s="451">
        <v>0</v>
      </c>
      <c r="D65" s="452">
        <f t="shared" si="27"/>
        <v>0</v>
      </c>
      <c r="E65" s="220" t="str">
        <f t="shared" si="28"/>
        <v>-</v>
      </c>
      <c r="F65" s="256"/>
      <c r="G65" s="450">
        <v>0</v>
      </c>
      <c r="H65" s="464">
        <v>0</v>
      </c>
      <c r="I65" s="452">
        <f t="shared" si="29"/>
        <v>0</v>
      </c>
      <c r="J65" s="221" t="str">
        <f t="shared" si="30"/>
        <v>-</v>
      </c>
      <c r="K65" s="256"/>
      <c r="L65" s="450">
        <v>0</v>
      </c>
      <c r="M65" s="450">
        <v>0</v>
      </c>
      <c r="N65" s="452">
        <f t="shared" si="31"/>
        <v>0</v>
      </c>
      <c r="O65" s="222" t="str">
        <f t="shared" si="32"/>
        <v>-</v>
      </c>
      <c r="P65" s="256"/>
      <c r="Q65" s="450">
        <v>0</v>
      </c>
      <c r="R65" s="450">
        <v>5000</v>
      </c>
      <c r="S65" s="452">
        <f t="shared" si="33"/>
        <v>5000</v>
      </c>
      <c r="T65" s="223" t="str">
        <f t="shared" si="34"/>
        <v>-</v>
      </c>
      <c r="U65" s="256"/>
      <c r="V65" s="450">
        <f t="shared" si="35"/>
        <v>0</v>
      </c>
      <c r="W65" s="451">
        <f t="shared" si="35"/>
        <v>5000</v>
      </c>
      <c r="X65" s="452">
        <f t="shared" si="36"/>
        <v>5000</v>
      </c>
      <c r="Y65" s="222" t="str">
        <f t="shared" si="37"/>
        <v>-</v>
      </c>
      <c r="Z65" s="257"/>
      <c r="AA65" s="450">
        <v>5000</v>
      </c>
      <c r="AB65" s="451">
        <f t="shared" si="38"/>
        <v>0</v>
      </c>
      <c r="AC65" s="222">
        <f t="shared" si="39"/>
        <v>0</v>
      </c>
      <c r="AD65" s="256"/>
      <c r="AE65" s="850"/>
    </row>
    <row r="66" spans="1:31" x14ac:dyDescent="0.3">
      <c r="A66" s="190" t="s">
        <v>114</v>
      </c>
      <c r="B66" s="450">
        <v>0</v>
      </c>
      <c r="C66" s="451">
        <v>0</v>
      </c>
      <c r="D66" s="452">
        <f t="shared" si="27"/>
        <v>0</v>
      </c>
      <c r="E66" s="220" t="str">
        <f t="shared" si="28"/>
        <v>-</v>
      </c>
      <c r="F66" s="256"/>
      <c r="G66" s="450">
        <v>0</v>
      </c>
      <c r="H66" s="464">
        <v>0</v>
      </c>
      <c r="I66" s="452">
        <f t="shared" si="29"/>
        <v>0</v>
      </c>
      <c r="J66" s="221" t="str">
        <f t="shared" si="30"/>
        <v>-</v>
      </c>
      <c r="K66" s="256"/>
      <c r="L66" s="450">
        <v>0</v>
      </c>
      <c r="M66" s="450">
        <v>0</v>
      </c>
      <c r="N66" s="452">
        <f t="shared" si="31"/>
        <v>0</v>
      </c>
      <c r="O66" s="222" t="str">
        <f t="shared" si="32"/>
        <v>-</v>
      </c>
      <c r="P66" s="256"/>
      <c r="Q66" s="450">
        <v>0</v>
      </c>
      <c r="R66" s="450">
        <v>1397.86</v>
      </c>
      <c r="S66" s="452">
        <f t="shared" si="33"/>
        <v>1397.86</v>
      </c>
      <c r="T66" s="223" t="str">
        <f t="shared" si="34"/>
        <v>-</v>
      </c>
      <c r="U66" s="256"/>
      <c r="V66" s="450">
        <f t="shared" si="35"/>
        <v>0</v>
      </c>
      <c r="W66" s="451">
        <f t="shared" si="35"/>
        <v>1397.86</v>
      </c>
      <c r="X66" s="452">
        <f t="shared" si="36"/>
        <v>1397.86</v>
      </c>
      <c r="Y66" s="222" t="str">
        <f t="shared" si="37"/>
        <v>-</v>
      </c>
      <c r="Z66" s="257"/>
      <c r="AA66" s="450">
        <v>5000</v>
      </c>
      <c r="AB66" s="451">
        <f t="shared" si="38"/>
        <v>3602.1400000000003</v>
      </c>
      <c r="AC66" s="222">
        <f t="shared" si="39"/>
        <v>0.72042800000000007</v>
      </c>
      <c r="AD66" s="256"/>
      <c r="AE66" s="851"/>
    </row>
    <row r="67" spans="1:31" x14ac:dyDescent="0.3">
      <c r="A67" s="190" t="s">
        <v>115</v>
      </c>
      <c r="B67" s="450">
        <v>0</v>
      </c>
      <c r="C67" s="451">
        <v>0</v>
      </c>
      <c r="D67" s="452">
        <f t="shared" si="27"/>
        <v>0</v>
      </c>
      <c r="E67" s="220" t="str">
        <f t="shared" si="28"/>
        <v>-</v>
      </c>
      <c r="F67" s="191"/>
      <c r="G67" s="463">
        <v>0</v>
      </c>
      <c r="H67" s="464">
        <v>0</v>
      </c>
      <c r="I67" s="452">
        <f t="shared" si="29"/>
        <v>0</v>
      </c>
      <c r="J67" s="221" t="str">
        <f t="shared" si="30"/>
        <v>-</v>
      </c>
      <c r="K67" s="191"/>
      <c r="L67" s="450">
        <v>0</v>
      </c>
      <c r="M67" s="450">
        <v>0</v>
      </c>
      <c r="N67" s="452">
        <f t="shared" si="31"/>
        <v>0</v>
      </c>
      <c r="O67" s="222" t="str">
        <f t="shared" si="32"/>
        <v>-</v>
      </c>
      <c r="P67" s="191"/>
      <c r="Q67" s="450">
        <v>0</v>
      </c>
      <c r="R67" s="450">
        <v>0</v>
      </c>
      <c r="S67" s="452">
        <f t="shared" si="33"/>
        <v>0</v>
      </c>
      <c r="T67" s="223" t="str">
        <f t="shared" si="34"/>
        <v>-</v>
      </c>
      <c r="U67" s="191"/>
      <c r="V67" s="450">
        <f t="shared" si="35"/>
        <v>0</v>
      </c>
      <c r="W67" s="451">
        <f t="shared" si="35"/>
        <v>0</v>
      </c>
      <c r="X67" s="452">
        <f t="shared" si="36"/>
        <v>0</v>
      </c>
      <c r="Y67" s="222" t="str">
        <f t="shared" si="37"/>
        <v>-</v>
      </c>
      <c r="Z67" s="188"/>
      <c r="AA67" s="450">
        <v>0</v>
      </c>
      <c r="AB67" s="451">
        <f t="shared" si="38"/>
        <v>0</v>
      </c>
      <c r="AC67" s="222" t="str">
        <f t="shared" si="39"/>
        <v>-</v>
      </c>
      <c r="AD67" s="191"/>
      <c r="AE67" s="850"/>
    </row>
    <row r="68" spans="1:31" x14ac:dyDescent="0.3">
      <c r="A68" s="190" t="s">
        <v>121</v>
      </c>
      <c r="B68" s="450">
        <v>0</v>
      </c>
      <c r="C68" s="451">
        <v>0</v>
      </c>
      <c r="D68" s="452">
        <f t="shared" si="27"/>
        <v>0</v>
      </c>
      <c r="E68" s="220" t="str">
        <f t="shared" si="28"/>
        <v>-</v>
      </c>
      <c r="F68" s="256"/>
      <c r="G68" s="463">
        <v>0</v>
      </c>
      <c r="H68" s="464">
        <v>0</v>
      </c>
      <c r="I68" s="452">
        <f t="shared" si="29"/>
        <v>0</v>
      </c>
      <c r="J68" s="221" t="str">
        <f t="shared" si="30"/>
        <v>-</v>
      </c>
      <c r="K68" s="256"/>
      <c r="L68" s="450">
        <v>0</v>
      </c>
      <c r="M68" s="450">
        <v>0</v>
      </c>
      <c r="N68" s="452">
        <f t="shared" si="31"/>
        <v>0</v>
      </c>
      <c r="O68" s="222" t="str">
        <f t="shared" si="32"/>
        <v>-</v>
      </c>
      <c r="P68" s="256"/>
      <c r="Q68" s="450">
        <v>0</v>
      </c>
      <c r="R68" s="450">
        <v>0</v>
      </c>
      <c r="S68" s="452">
        <f t="shared" si="33"/>
        <v>0</v>
      </c>
      <c r="T68" s="223" t="str">
        <f t="shared" si="34"/>
        <v>-</v>
      </c>
      <c r="U68" s="256"/>
      <c r="V68" s="450">
        <f t="shared" si="35"/>
        <v>0</v>
      </c>
      <c r="W68" s="451">
        <f t="shared" si="35"/>
        <v>0</v>
      </c>
      <c r="X68" s="452">
        <f t="shared" si="36"/>
        <v>0</v>
      </c>
      <c r="Y68" s="222" t="str">
        <f t="shared" si="37"/>
        <v>-</v>
      </c>
      <c r="Z68" s="257"/>
      <c r="AA68" s="450">
        <v>0</v>
      </c>
      <c r="AB68" s="451">
        <f t="shared" si="38"/>
        <v>0</v>
      </c>
      <c r="AC68" s="222" t="str">
        <f t="shared" si="39"/>
        <v>-</v>
      </c>
      <c r="AD68" s="256"/>
      <c r="AE68" s="850"/>
    </row>
    <row r="69" spans="1:31" x14ac:dyDescent="0.3">
      <c r="A69" s="190" t="s">
        <v>97</v>
      </c>
      <c r="B69" s="450">
        <v>375</v>
      </c>
      <c r="C69" s="451">
        <v>0</v>
      </c>
      <c r="D69" s="452">
        <f t="shared" si="27"/>
        <v>-375</v>
      </c>
      <c r="E69" s="220">
        <f t="shared" si="28"/>
        <v>-1</v>
      </c>
      <c r="F69" s="256"/>
      <c r="G69" s="463">
        <v>375</v>
      </c>
      <c r="H69" s="464">
        <v>0</v>
      </c>
      <c r="I69" s="452">
        <f t="shared" si="29"/>
        <v>-375</v>
      </c>
      <c r="J69" s="221">
        <f t="shared" si="30"/>
        <v>-1</v>
      </c>
      <c r="K69" s="256"/>
      <c r="L69" s="450">
        <v>375</v>
      </c>
      <c r="M69" s="450">
        <v>570.54</v>
      </c>
      <c r="N69" s="452">
        <f t="shared" si="31"/>
        <v>195.53999999999996</v>
      </c>
      <c r="O69" s="222">
        <f t="shared" si="32"/>
        <v>0.5214399999999999</v>
      </c>
      <c r="P69" s="256"/>
      <c r="Q69" s="450">
        <v>375</v>
      </c>
      <c r="R69" s="450">
        <v>0</v>
      </c>
      <c r="S69" s="452">
        <f t="shared" si="33"/>
        <v>-375</v>
      </c>
      <c r="T69" s="223">
        <f t="shared" si="34"/>
        <v>-1</v>
      </c>
      <c r="U69" s="256"/>
      <c r="V69" s="450">
        <f t="shared" si="35"/>
        <v>1500</v>
      </c>
      <c r="W69" s="451">
        <f t="shared" si="35"/>
        <v>570.54</v>
      </c>
      <c r="X69" s="452">
        <f t="shared" si="36"/>
        <v>-929.46</v>
      </c>
      <c r="Y69" s="222">
        <f t="shared" si="37"/>
        <v>-0.61964000000000008</v>
      </c>
      <c r="Z69" s="257"/>
      <c r="AA69" s="450">
        <v>1500</v>
      </c>
      <c r="AB69" s="451">
        <f t="shared" si="38"/>
        <v>929.46</v>
      </c>
      <c r="AC69" s="222">
        <f t="shared" si="39"/>
        <v>0.61964000000000008</v>
      </c>
      <c r="AD69" s="256"/>
      <c r="AE69" s="851"/>
    </row>
    <row r="70" spans="1:31" x14ac:dyDescent="0.3">
      <c r="A70" s="190" t="s">
        <v>98</v>
      </c>
      <c r="B70" s="450">
        <v>0</v>
      </c>
      <c r="C70" s="451">
        <v>0</v>
      </c>
      <c r="D70" s="452">
        <f t="shared" si="27"/>
        <v>0</v>
      </c>
      <c r="E70" s="220" t="str">
        <f t="shared" si="28"/>
        <v>-</v>
      </c>
      <c r="F70" s="191"/>
      <c r="G70" s="463">
        <v>0</v>
      </c>
      <c r="H70" s="464">
        <v>0</v>
      </c>
      <c r="I70" s="452">
        <f t="shared" si="29"/>
        <v>0</v>
      </c>
      <c r="J70" s="221" t="str">
        <f t="shared" si="30"/>
        <v>-</v>
      </c>
      <c r="K70" s="191"/>
      <c r="L70" s="450">
        <v>0</v>
      </c>
      <c r="M70" s="450">
        <v>0</v>
      </c>
      <c r="N70" s="452">
        <f t="shared" si="31"/>
        <v>0</v>
      </c>
      <c r="O70" s="222" t="str">
        <f t="shared" si="32"/>
        <v>-</v>
      </c>
      <c r="P70" s="191"/>
      <c r="Q70" s="450">
        <v>0</v>
      </c>
      <c r="R70" s="450">
        <v>0</v>
      </c>
      <c r="S70" s="452">
        <f t="shared" si="33"/>
        <v>0</v>
      </c>
      <c r="T70" s="223" t="str">
        <f t="shared" si="34"/>
        <v>-</v>
      </c>
      <c r="U70" s="191"/>
      <c r="V70" s="450">
        <f t="shared" si="35"/>
        <v>0</v>
      </c>
      <c r="W70" s="451">
        <f t="shared" si="35"/>
        <v>0</v>
      </c>
      <c r="X70" s="452">
        <f t="shared" si="36"/>
        <v>0</v>
      </c>
      <c r="Y70" s="222" t="str">
        <f t="shared" si="37"/>
        <v>-</v>
      </c>
      <c r="Z70" s="188"/>
      <c r="AA70" s="450">
        <v>0</v>
      </c>
      <c r="AB70" s="451">
        <f t="shared" si="38"/>
        <v>0</v>
      </c>
      <c r="AC70" s="222" t="str">
        <f t="shared" si="39"/>
        <v>-</v>
      </c>
      <c r="AD70" s="191"/>
      <c r="AE70" s="851"/>
    </row>
    <row r="71" spans="1:31" x14ac:dyDescent="0.3">
      <c r="A71" s="190" t="s">
        <v>116</v>
      </c>
      <c r="B71" s="450">
        <v>0</v>
      </c>
      <c r="C71" s="451">
        <v>0</v>
      </c>
      <c r="D71" s="452">
        <f t="shared" si="27"/>
        <v>0</v>
      </c>
      <c r="E71" s="220" t="str">
        <f t="shared" si="28"/>
        <v>-</v>
      </c>
      <c r="F71" s="256"/>
      <c r="G71" s="463">
        <v>0</v>
      </c>
      <c r="H71" s="464">
        <v>0</v>
      </c>
      <c r="I71" s="452">
        <f t="shared" si="29"/>
        <v>0</v>
      </c>
      <c r="J71" s="221" t="str">
        <f t="shared" si="30"/>
        <v>-</v>
      </c>
      <c r="K71" s="256"/>
      <c r="L71" s="450">
        <v>0</v>
      </c>
      <c r="M71" s="450">
        <v>0</v>
      </c>
      <c r="N71" s="452">
        <f t="shared" si="31"/>
        <v>0</v>
      </c>
      <c r="O71" s="222" t="str">
        <f t="shared" si="32"/>
        <v>-</v>
      </c>
      <c r="P71" s="256"/>
      <c r="Q71" s="450">
        <v>0</v>
      </c>
      <c r="R71" s="450">
        <v>0</v>
      </c>
      <c r="S71" s="452">
        <f t="shared" si="33"/>
        <v>0</v>
      </c>
      <c r="T71" s="223" t="str">
        <f t="shared" si="34"/>
        <v>-</v>
      </c>
      <c r="U71" s="256"/>
      <c r="V71" s="450">
        <f t="shared" si="35"/>
        <v>0</v>
      </c>
      <c r="W71" s="451">
        <f t="shared" si="35"/>
        <v>0</v>
      </c>
      <c r="X71" s="452">
        <f t="shared" si="36"/>
        <v>0</v>
      </c>
      <c r="Y71" s="222" t="str">
        <f t="shared" si="37"/>
        <v>-</v>
      </c>
      <c r="Z71" s="257"/>
      <c r="AA71" s="450">
        <v>0</v>
      </c>
      <c r="AB71" s="451">
        <f t="shared" si="38"/>
        <v>0</v>
      </c>
      <c r="AC71" s="222" t="str">
        <f t="shared" si="39"/>
        <v>-</v>
      </c>
      <c r="AD71" s="256"/>
      <c r="AE71" s="851"/>
    </row>
    <row r="72" spans="1:31" x14ac:dyDescent="0.3">
      <c r="A72" s="190" t="s">
        <v>99</v>
      </c>
      <c r="B72" s="450">
        <v>250</v>
      </c>
      <c r="C72" s="451">
        <v>0</v>
      </c>
      <c r="D72" s="452">
        <f t="shared" si="27"/>
        <v>-250</v>
      </c>
      <c r="E72" s="220">
        <f t="shared" si="28"/>
        <v>-1</v>
      </c>
      <c r="F72" s="191"/>
      <c r="G72" s="450">
        <v>250</v>
      </c>
      <c r="H72" s="464">
        <v>0</v>
      </c>
      <c r="I72" s="452">
        <f t="shared" si="29"/>
        <v>-250</v>
      </c>
      <c r="J72" s="221">
        <f t="shared" si="30"/>
        <v>-1</v>
      </c>
      <c r="K72" s="191"/>
      <c r="L72" s="450">
        <v>250</v>
      </c>
      <c r="M72" s="450">
        <v>0</v>
      </c>
      <c r="N72" s="452">
        <f t="shared" si="31"/>
        <v>-250</v>
      </c>
      <c r="O72" s="222">
        <f t="shared" si="32"/>
        <v>-1</v>
      </c>
      <c r="P72" s="191"/>
      <c r="Q72" s="450">
        <v>250</v>
      </c>
      <c r="R72" s="450">
        <v>0</v>
      </c>
      <c r="S72" s="452">
        <f t="shared" si="33"/>
        <v>-250</v>
      </c>
      <c r="T72" s="223">
        <f t="shared" si="34"/>
        <v>-1</v>
      </c>
      <c r="U72" s="191"/>
      <c r="V72" s="450">
        <f t="shared" si="35"/>
        <v>1000</v>
      </c>
      <c r="W72" s="451">
        <f t="shared" si="35"/>
        <v>0</v>
      </c>
      <c r="X72" s="452">
        <f t="shared" si="36"/>
        <v>-1000</v>
      </c>
      <c r="Y72" s="222">
        <f t="shared" si="37"/>
        <v>-1</v>
      </c>
      <c r="Z72" s="188"/>
      <c r="AA72" s="450">
        <v>1000</v>
      </c>
      <c r="AB72" s="451">
        <f t="shared" si="38"/>
        <v>1000</v>
      </c>
      <c r="AC72" s="222">
        <f t="shared" si="39"/>
        <v>1</v>
      </c>
      <c r="AD72" s="191"/>
      <c r="AE72" s="851"/>
    </row>
    <row r="73" spans="1:31" x14ac:dyDescent="0.3">
      <c r="A73" s="190" t="s">
        <v>100</v>
      </c>
      <c r="B73" s="450">
        <v>0</v>
      </c>
      <c r="C73" s="451">
        <v>0</v>
      </c>
      <c r="D73" s="452">
        <f t="shared" si="27"/>
        <v>0</v>
      </c>
      <c r="E73" s="220" t="str">
        <f t="shared" si="28"/>
        <v>-</v>
      </c>
      <c r="F73" s="256"/>
      <c r="G73" s="463">
        <v>0</v>
      </c>
      <c r="H73" s="464">
        <v>0</v>
      </c>
      <c r="I73" s="452">
        <f t="shared" si="29"/>
        <v>0</v>
      </c>
      <c r="J73" s="221" t="str">
        <f t="shared" si="30"/>
        <v>-</v>
      </c>
      <c r="K73" s="256"/>
      <c r="L73" s="450">
        <v>0</v>
      </c>
      <c r="M73" s="450">
        <v>0</v>
      </c>
      <c r="N73" s="452">
        <f t="shared" si="31"/>
        <v>0</v>
      </c>
      <c r="O73" s="222"/>
      <c r="P73" s="256"/>
      <c r="Q73" s="450">
        <v>0</v>
      </c>
      <c r="R73" s="450">
        <v>0</v>
      </c>
      <c r="S73" s="452">
        <f t="shared" si="33"/>
        <v>0</v>
      </c>
      <c r="T73" s="223"/>
      <c r="U73" s="256"/>
      <c r="V73" s="450">
        <f t="shared" si="35"/>
        <v>0</v>
      </c>
      <c r="W73" s="451">
        <f t="shared" si="35"/>
        <v>0</v>
      </c>
      <c r="X73" s="452">
        <f t="shared" si="36"/>
        <v>0</v>
      </c>
      <c r="Y73" s="222" t="str">
        <f t="shared" si="37"/>
        <v>-</v>
      </c>
      <c r="Z73" s="257"/>
      <c r="AA73" s="450">
        <v>0</v>
      </c>
      <c r="AB73" s="451">
        <f t="shared" si="38"/>
        <v>0</v>
      </c>
      <c r="AC73" s="222" t="str">
        <f t="shared" si="39"/>
        <v>-</v>
      </c>
      <c r="AD73" s="256"/>
      <c r="AE73" s="850"/>
    </row>
    <row r="74" spans="1:31" x14ac:dyDescent="0.3">
      <c r="A74" s="275" t="s">
        <v>101</v>
      </c>
      <c r="B74" s="450">
        <v>2500</v>
      </c>
      <c r="C74" s="451">
        <v>583.24</v>
      </c>
      <c r="D74" s="452">
        <f t="shared" si="27"/>
        <v>-1916.76</v>
      </c>
      <c r="E74" s="220">
        <f t="shared" si="28"/>
        <v>-0.76670399999999994</v>
      </c>
      <c r="F74" s="191"/>
      <c r="G74" s="463">
        <v>2500</v>
      </c>
      <c r="H74" s="464">
        <v>1747.39</v>
      </c>
      <c r="I74" s="452">
        <f t="shared" si="29"/>
        <v>-752.6099999999999</v>
      </c>
      <c r="J74" s="221">
        <f t="shared" si="30"/>
        <v>-0.30104399999999998</v>
      </c>
      <c r="K74" s="191"/>
      <c r="L74" s="450">
        <v>2500</v>
      </c>
      <c r="M74" s="450">
        <v>3276.17</v>
      </c>
      <c r="N74" s="452">
        <f t="shared" si="31"/>
        <v>776.17000000000007</v>
      </c>
      <c r="O74" s="222">
        <f>IF(ISERROR(N74/L74),"-",N74/L74)</f>
        <v>0.31046800000000002</v>
      </c>
      <c r="P74" s="191"/>
      <c r="Q74" s="450">
        <v>2500</v>
      </c>
      <c r="R74" s="450">
        <v>4220.76</v>
      </c>
      <c r="S74" s="452">
        <f t="shared" si="33"/>
        <v>1720.7600000000002</v>
      </c>
      <c r="T74" s="223">
        <f>IF(ISERROR(S74/Q74),"-",S74/Q74)</f>
        <v>0.68830400000000014</v>
      </c>
      <c r="U74" s="191"/>
      <c r="V74" s="450">
        <f t="shared" si="35"/>
        <v>10000</v>
      </c>
      <c r="W74" s="451">
        <f t="shared" si="35"/>
        <v>9827.5600000000013</v>
      </c>
      <c r="X74" s="452">
        <f t="shared" si="36"/>
        <v>-172.43999999999869</v>
      </c>
      <c r="Y74" s="222">
        <f t="shared" si="37"/>
        <v>-1.7243999999999871E-2</v>
      </c>
      <c r="Z74" s="188"/>
      <c r="AA74" s="450">
        <v>10000</v>
      </c>
      <c r="AB74" s="451">
        <f t="shared" si="38"/>
        <v>172.43999999999869</v>
      </c>
      <c r="AC74" s="222">
        <f t="shared" si="39"/>
        <v>1.7243999999999871E-2</v>
      </c>
      <c r="AD74" s="191"/>
      <c r="AE74" s="850"/>
    </row>
    <row r="75" spans="1:31" x14ac:dyDescent="0.3">
      <c r="A75" s="276" t="s">
        <v>120</v>
      </c>
      <c r="B75" s="450">
        <v>0</v>
      </c>
      <c r="C75" s="451">
        <v>0</v>
      </c>
      <c r="D75" s="452">
        <f t="shared" si="27"/>
        <v>0</v>
      </c>
      <c r="E75" s="220" t="str">
        <f t="shared" si="28"/>
        <v>-</v>
      </c>
      <c r="F75" s="191"/>
      <c r="G75" s="463">
        <v>0</v>
      </c>
      <c r="H75" s="464">
        <v>0</v>
      </c>
      <c r="I75" s="452">
        <f t="shared" si="29"/>
        <v>0</v>
      </c>
      <c r="J75" s="221" t="str">
        <f t="shared" si="30"/>
        <v>-</v>
      </c>
      <c r="K75" s="191"/>
      <c r="L75" s="450">
        <v>0</v>
      </c>
      <c r="M75" s="450">
        <v>0</v>
      </c>
      <c r="N75" s="452">
        <f t="shared" si="31"/>
        <v>0</v>
      </c>
      <c r="O75" s="222" t="str">
        <f>IF(ISERROR(N75/L75),"-",N75/L75)</f>
        <v>-</v>
      </c>
      <c r="P75" s="191"/>
      <c r="Q75" s="450">
        <v>0</v>
      </c>
      <c r="R75" s="450">
        <v>0</v>
      </c>
      <c r="S75" s="452">
        <f t="shared" si="33"/>
        <v>0</v>
      </c>
      <c r="T75" s="223" t="str">
        <f>IF(ISERROR(S75/Q75),"-",S75/Q75)</f>
        <v>-</v>
      </c>
      <c r="U75" s="191"/>
      <c r="V75" s="450">
        <f t="shared" si="35"/>
        <v>0</v>
      </c>
      <c r="W75" s="451">
        <f t="shared" si="35"/>
        <v>0</v>
      </c>
      <c r="X75" s="452">
        <f t="shared" si="36"/>
        <v>0</v>
      </c>
      <c r="Y75" s="222" t="str">
        <f t="shared" si="37"/>
        <v>-</v>
      </c>
      <c r="Z75" s="188"/>
      <c r="AA75" s="450">
        <v>0</v>
      </c>
      <c r="AB75" s="451">
        <f t="shared" si="38"/>
        <v>0</v>
      </c>
      <c r="AC75" s="222" t="str">
        <f t="shared" si="39"/>
        <v>-</v>
      </c>
      <c r="AD75" s="191"/>
      <c r="AE75" s="850"/>
    </row>
    <row r="76" spans="1:31" x14ac:dyDescent="0.3">
      <c r="A76" s="199" t="s">
        <v>102</v>
      </c>
      <c r="B76" s="469">
        <f>SUM(B43:B75)</f>
        <v>437386.5</v>
      </c>
      <c r="C76" s="470">
        <f>SUM(C43:C75)</f>
        <v>1030965.55</v>
      </c>
      <c r="D76" s="470">
        <f>SUM(D43:D75)</f>
        <v>593579.05000000005</v>
      </c>
      <c r="E76" s="237">
        <f t="shared" si="28"/>
        <v>1.3571041858859385</v>
      </c>
      <c r="F76" s="758"/>
      <c r="G76" s="469">
        <f>SUM(G43:G75)</f>
        <v>442886.5</v>
      </c>
      <c r="H76" s="470">
        <f>SUM(H43:H75)</f>
        <v>747019.81</v>
      </c>
      <c r="I76" s="470">
        <f>SUM(I43:I75)</f>
        <v>304133.31000000006</v>
      </c>
      <c r="J76" s="237">
        <f>IF(ISERROR(I76/G76),"-",I76/G76)</f>
        <v>0.68670711344780222</v>
      </c>
      <c r="K76" s="758"/>
      <c r="L76" s="469">
        <f>SUM(L43:L75)</f>
        <v>442886.5</v>
      </c>
      <c r="M76" s="470">
        <f>SUM(M43:M75)</f>
        <v>517141.73999999993</v>
      </c>
      <c r="N76" s="470">
        <f>SUM(N43:N75)</f>
        <v>74255.239999999976</v>
      </c>
      <c r="O76" s="238">
        <f>IF(ISERROR(N76/L76),"-",N76/L76)</f>
        <v>0.16766200821203622</v>
      </c>
      <c r="P76" s="758"/>
      <c r="Q76" s="469">
        <f>SUM(Q43:Q75)</f>
        <v>442886.5</v>
      </c>
      <c r="R76" s="470">
        <f>SUM(R43:R75)</f>
        <v>554709.21</v>
      </c>
      <c r="S76" s="470">
        <f>SUM(S43:S75)</f>
        <v>111822.70999999996</v>
      </c>
      <c r="T76" s="238">
        <f>IF(ISERROR(S76/Q76),"-",S76/Q76)</f>
        <v>0.25248615615964803</v>
      </c>
      <c r="U76" s="758"/>
      <c r="V76" s="469">
        <f>SUM(V43:V75)</f>
        <v>1766046</v>
      </c>
      <c r="W76" s="470">
        <f>SUM(W43:W75)</f>
        <v>2849836.31</v>
      </c>
      <c r="X76" s="470">
        <f>SUM(X43:X75)</f>
        <v>1083790.31</v>
      </c>
      <c r="Y76" s="238">
        <f t="shared" si="37"/>
        <v>0.61368181236502339</v>
      </c>
      <c r="Z76" s="758"/>
      <c r="AA76" s="469">
        <f>SUM(AA43:AA75)</f>
        <v>1773446</v>
      </c>
      <c r="AB76" s="470">
        <f>SUM(AB43:AB75)</f>
        <v>-1076390.31</v>
      </c>
      <c r="AC76" s="238">
        <f t="shared" ref="AC76" si="40">IF(ISERROR(AB76/AA76),"-",AB76/AA76)</f>
        <v>-0.60694845515454099</v>
      </c>
      <c r="AD76" s="203"/>
      <c r="AE76" s="850"/>
    </row>
    <row r="77" spans="1:31" x14ac:dyDescent="0.3">
      <c r="A77" s="277"/>
      <c r="B77" s="486"/>
      <c r="C77" s="487"/>
      <c r="D77" s="487"/>
      <c r="E77" s="280"/>
      <c r="F77" s="758"/>
      <c r="G77" s="488"/>
      <c r="H77" s="489"/>
      <c r="I77" s="489"/>
      <c r="J77" s="292"/>
      <c r="K77" s="758"/>
      <c r="L77" s="486"/>
      <c r="M77" s="487"/>
      <c r="N77" s="487"/>
      <c r="O77" s="953"/>
      <c r="P77" s="758"/>
      <c r="Q77" s="488"/>
      <c r="R77" s="489"/>
      <c r="S77" s="489"/>
      <c r="T77" s="1168"/>
      <c r="U77" s="758"/>
      <c r="V77" s="490"/>
      <c r="W77" s="491"/>
      <c r="X77" s="487"/>
      <c r="Y77" s="1172"/>
      <c r="Z77" s="758"/>
      <c r="AA77" s="490"/>
      <c r="AB77" s="487"/>
      <c r="AC77" s="1172"/>
      <c r="AD77" s="175"/>
      <c r="AE77" s="852"/>
    </row>
    <row r="78" spans="1:31" ht="19.5" thickBot="1" x14ac:dyDescent="0.35">
      <c r="A78" s="199" t="s">
        <v>103</v>
      </c>
      <c r="B78" s="469">
        <f>B41+B76+B77</f>
        <v>585840.75</v>
      </c>
      <c r="C78" s="470">
        <f>C41+C76+C77</f>
        <v>1176142.1000000001</v>
      </c>
      <c r="D78" s="470">
        <f>D41+D76+D77</f>
        <v>590301.35000000009</v>
      </c>
      <c r="E78" s="237">
        <f>IF(ISERROR(D78/B78),"-",D78/B78)</f>
        <v>1.0076140145594175</v>
      </c>
      <c r="F78" s="760"/>
      <c r="G78" s="469">
        <f>G41+G76+G77</f>
        <v>591340.75</v>
      </c>
      <c r="H78" s="470">
        <f>H41+H76+H77</f>
        <v>892259.91</v>
      </c>
      <c r="I78" s="470">
        <f>I41+I76+I77</f>
        <v>300919.16000000003</v>
      </c>
      <c r="J78" s="237">
        <f>IF(ISERROR(I78/G78),"-",I78/G78)</f>
        <v>0.50887607525779344</v>
      </c>
      <c r="K78" s="760"/>
      <c r="L78" s="469">
        <f>L41+L76+L77</f>
        <v>591340.75</v>
      </c>
      <c r="M78" s="470">
        <f>M41+M76+M77</f>
        <v>663088.23</v>
      </c>
      <c r="N78" s="470">
        <f>N41+N76+N77</f>
        <v>71747.479999999981</v>
      </c>
      <c r="O78" s="238">
        <f>IF(ISERROR(N78/L78),"-",N78/L78)</f>
        <v>0.12133018061075612</v>
      </c>
      <c r="P78" s="760"/>
      <c r="Q78" s="469">
        <f>Q41+Q76+Q77</f>
        <v>591340.75</v>
      </c>
      <c r="R78" s="470">
        <f>R41+R76+R77</f>
        <v>746855.75</v>
      </c>
      <c r="S78" s="470">
        <f>S41+S76+S77</f>
        <v>155514.99999999994</v>
      </c>
      <c r="T78" s="238">
        <f>IF(ISERROR(S78/Q78),"-",S78/Q78)</f>
        <v>0.26298711867903563</v>
      </c>
      <c r="U78" s="760"/>
      <c r="V78" s="469">
        <f>V41+V76+V77</f>
        <v>2359863</v>
      </c>
      <c r="W78" s="470">
        <f>W41+W76+W77</f>
        <v>3478345.99</v>
      </c>
      <c r="X78" s="470">
        <f>X41+X76+X77</f>
        <v>1118482.99</v>
      </c>
      <c r="Y78" s="238">
        <f>IF(ISERROR(X78/V78),"-",X78/V78)</f>
        <v>0.47396098417577631</v>
      </c>
      <c r="Z78" s="760"/>
      <c r="AA78" s="469">
        <f>AA41+AA76+AA77</f>
        <v>2367263</v>
      </c>
      <c r="AB78" s="470">
        <f>AB41+AB76+AB77</f>
        <v>-1111082.99</v>
      </c>
      <c r="AC78" s="238">
        <f>IF(ISERROR(AB78/AA78),"-",AB78/AA78)</f>
        <v>-0.46935342207435338</v>
      </c>
      <c r="AD78" s="256"/>
      <c r="AE78" s="850"/>
    </row>
    <row r="79" spans="1:31" ht="33" customHeight="1" thickBot="1" x14ac:dyDescent="0.35">
      <c r="A79" s="288" t="s">
        <v>170</v>
      </c>
      <c r="B79" s="486">
        <f>B25-B78</f>
        <v>-83038</v>
      </c>
      <c r="C79" s="486">
        <f>C25-C78</f>
        <v>-1000091.8</v>
      </c>
      <c r="D79" s="486">
        <f>D25-D78</f>
        <v>-917053.8</v>
      </c>
      <c r="E79" s="278"/>
      <c r="F79" s="278">
        <f>F25-F78</f>
        <v>0</v>
      </c>
      <c r="G79" s="486">
        <f>G25-G78</f>
        <v>-100547</v>
      </c>
      <c r="H79" s="486">
        <f>H25-H78</f>
        <v>472582.58999999997</v>
      </c>
      <c r="I79" s="486">
        <f>I25-I78</f>
        <v>573129.59</v>
      </c>
      <c r="J79" s="278"/>
      <c r="K79" s="278">
        <f>K25-K78</f>
        <v>0</v>
      </c>
      <c r="L79" s="486">
        <f>L25-L78</f>
        <v>-100547</v>
      </c>
      <c r="M79" s="486">
        <f>M25-M78</f>
        <v>-471042.47</v>
      </c>
      <c r="N79" s="486">
        <f>N25-N78</f>
        <v>-370495.47</v>
      </c>
      <c r="O79" s="278"/>
      <c r="P79" s="278">
        <f>P25-P78</f>
        <v>0</v>
      </c>
      <c r="Q79" s="486">
        <f>Q25-Q78</f>
        <v>-100547</v>
      </c>
      <c r="R79" s="486">
        <f>R25-R78</f>
        <v>-510147.58999999997</v>
      </c>
      <c r="S79" s="486">
        <f>S25-S78</f>
        <v>-409600.58999999997</v>
      </c>
      <c r="T79" s="1169"/>
      <c r="U79" s="278">
        <f>U25-U78</f>
        <v>0</v>
      </c>
      <c r="V79" s="486">
        <f>V25-V78</f>
        <v>-384679</v>
      </c>
      <c r="W79" s="486">
        <f>W25-W78</f>
        <v>-1508699.27</v>
      </c>
      <c r="X79" s="486">
        <f>X25-X78</f>
        <v>-1124020.27</v>
      </c>
      <c r="Y79" s="1169"/>
      <c r="Z79" s="278">
        <f>Z25-Z78</f>
        <v>0</v>
      </c>
      <c r="AA79" s="486">
        <f>AA25-AA78</f>
        <v>-380070</v>
      </c>
      <c r="AB79" s="486">
        <f>AB25-AB78</f>
        <v>1128629.27</v>
      </c>
      <c r="AC79" s="1169"/>
      <c r="AD79" s="175"/>
      <c r="AE79" s="852"/>
    </row>
    <row r="80" spans="1:31" ht="19.5" thickBot="1" x14ac:dyDescent="0.35">
      <c r="A80" s="291" t="s">
        <v>171</v>
      </c>
      <c r="B80" s="486"/>
      <c r="C80" s="487"/>
      <c r="D80" s="487">
        <f>C80-B80</f>
        <v>0</v>
      </c>
      <c r="E80" s="751"/>
      <c r="F80" s="758"/>
      <c r="G80" s="488"/>
      <c r="H80" s="489"/>
      <c r="I80" s="487">
        <f>H80-G80</f>
        <v>0</v>
      </c>
      <c r="J80" s="759"/>
      <c r="K80" s="758"/>
      <c r="L80" s="486"/>
      <c r="M80" s="487"/>
      <c r="N80" s="487">
        <f>M80-L80</f>
        <v>0</v>
      </c>
      <c r="O80" s="751"/>
      <c r="P80" s="758"/>
      <c r="Q80" s="488"/>
      <c r="R80" s="489"/>
      <c r="S80" s="487">
        <f>R80-Q80</f>
        <v>0</v>
      </c>
      <c r="T80" s="1170"/>
      <c r="U80" s="758"/>
      <c r="V80" s="490"/>
      <c r="W80" s="491"/>
      <c r="X80" s="487"/>
      <c r="Y80" s="1172"/>
      <c r="Z80" s="758"/>
      <c r="AA80" s="490"/>
      <c r="AB80" s="487"/>
      <c r="AC80" s="1172"/>
      <c r="AD80" s="175"/>
      <c r="AE80" s="850"/>
    </row>
    <row r="81" spans="1:31" ht="25.5" customHeight="1" thickBot="1" x14ac:dyDescent="0.35">
      <c r="A81" s="293" t="s">
        <v>172</v>
      </c>
      <c r="B81" s="486">
        <f>B79-B80</f>
        <v>-83038</v>
      </c>
      <c r="C81" s="486">
        <f t="shared" ref="C81:AA81" si="41">C79-C80</f>
        <v>-1000091.8</v>
      </c>
      <c r="D81" s="486">
        <f t="shared" si="41"/>
        <v>-917053.8</v>
      </c>
      <c r="E81" s="278">
        <f>E79-E80</f>
        <v>0</v>
      </c>
      <c r="F81" s="278">
        <f t="shared" si="41"/>
        <v>0</v>
      </c>
      <c r="G81" s="486">
        <f t="shared" si="41"/>
        <v>-100547</v>
      </c>
      <c r="H81" s="486">
        <f t="shared" si="41"/>
        <v>472582.58999999997</v>
      </c>
      <c r="I81" s="486">
        <f t="shared" si="41"/>
        <v>573129.59</v>
      </c>
      <c r="J81" s="278">
        <f>J79-J80</f>
        <v>0</v>
      </c>
      <c r="K81" s="278">
        <f t="shared" si="41"/>
        <v>0</v>
      </c>
      <c r="L81" s="486">
        <f t="shared" si="41"/>
        <v>-100547</v>
      </c>
      <c r="M81" s="486">
        <f t="shared" si="41"/>
        <v>-471042.47</v>
      </c>
      <c r="N81" s="486">
        <f t="shared" si="41"/>
        <v>-370495.47</v>
      </c>
      <c r="O81" s="278">
        <f t="shared" si="41"/>
        <v>0</v>
      </c>
      <c r="P81" s="278">
        <f t="shared" si="41"/>
        <v>0</v>
      </c>
      <c r="Q81" s="486">
        <f t="shared" si="41"/>
        <v>-100547</v>
      </c>
      <c r="R81" s="486">
        <f>R79-R80</f>
        <v>-510147.58999999997</v>
      </c>
      <c r="S81" s="486">
        <f t="shared" si="41"/>
        <v>-409600.58999999997</v>
      </c>
      <c r="T81" s="1169">
        <f t="shared" si="41"/>
        <v>0</v>
      </c>
      <c r="U81" s="278">
        <f t="shared" si="41"/>
        <v>0</v>
      </c>
      <c r="V81" s="486">
        <f>V79-V80</f>
        <v>-384679</v>
      </c>
      <c r="W81" s="486">
        <f t="shared" si="41"/>
        <v>-1508699.27</v>
      </c>
      <c r="X81" s="486">
        <f t="shared" si="41"/>
        <v>-1124020.27</v>
      </c>
      <c r="Y81" s="1169">
        <f t="shared" si="41"/>
        <v>0</v>
      </c>
      <c r="Z81" s="278">
        <f t="shared" si="41"/>
        <v>0</v>
      </c>
      <c r="AA81" s="486">
        <f t="shared" si="41"/>
        <v>-380070</v>
      </c>
      <c r="AB81" s="486">
        <f>AB79-AB80</f>
        <v>1128629.27</v>
      </c>
      <c r="AC81" s="1169">
        <f>AC79-AC80</f>
        <v>0</v>
      </c>
      <c r="AD81" s="175"/>
      <c r="AE81" s="852"/>
    </row>
    <row r="82" spans="1:31" ht="29.25" customHeight="1" x14ac:dyDescent="0.3">
      <c r="A82" s="172" t="s">
        <v>104</v>
      </c>
      <c r="B82" s="450"/>
      <c r="C82" s="451"/>
      <c r="D82" s="451">
        <f>B82-C82</f>
        <v>0</v>
      </c>
      <c r="E82" s="761" t="str">
        <f>IF(ISERROR(D82/B82),"-",D82/B82)</f>
        <v>-</v>
      </c>
      <c r="F82" s="760"/>
      <c r="G82" s="463"/>
      <c r="H82" s="464"/>
      <c r="I82" s="464">
        <f>G82-H82</f>
        <v>0</v>
      </c>
      <c r="J82" s="762" t="str">
        <f>IF(ISERROR(I82/G82),"-",I82/G82)</f>
        <v>-</v>
      </c>
      <c r="K82" s="760"/>
      <c r="L82" s="450"/>
      <c r="M82" s="451"/>
      <c r="N82" s="451">
        <f>L82-M82</f>
        <v>0</v>
      </c>
      <c r="O82" s="761" t="str">
        <f>IF(ISERROR(N82/L82),"-",N82/L82)</f>
        <v>-</v>
      </c>
      <c r="P82" s="760"/>
      <c r="Q82" s="463"/>
      <c r="R82" s="464"/>
      <c r="S82" s="464">
        <f>Q82-R82</f>
        <v>0</v>
      </c>
      <c r="T82" s="223" t="str">
        <f>IF(ISERROR(S82/Q82),"-",S82/Q82)</f>
        <v>-</v>
      </c>
      <c r="U82" s="760"/>
      <c r="V82" s="450">
        <f>B82+G82+L82+Q82</f>
        <v>0</v>
      </c>
      <c r="W82" s="451">
        <f>C82+H82+M82+R82</f>
        <v>0</v>
      </c>
      <c r="X82" s="451">
        <f>V82-W82</f>
        <v>0</v>
      </c>
      <c r="Y82" s="222" t="str">
        <f>IF(ISERROR(X82/V82),"-",X82/V82)</f>
        <v>-</v>
      </c>
      <c r="Z82" s="760"/>
      <c r="AA82" s="450">
        <f>G82+L82+Q82+V82</f>
        <v>0</v>
      </c>
      <c r="AB82" s="451">
        <f>AA82-W82</f>
        <v>0</v>
      </c>
      <c r="AC82" s="222" t="str">
        <f>IF(ISERROR(AB82/AA82),"-",AB82/AA82)</f>
        <v>-</v>
      </c>
      <c r="AD82" s="256"/>
      <c r="AE82" s="850"/>
    </row>
    <row r="83" spans="1:31" ht="19.5" thickBot="1" x14ac:dyDescent="0.35">
      <c r="A83" s="296" t="s">
        <v>105</v>
      </c>
      <c r="B83" s="492">
        <f>B81-B82</f>
        <v>-83038</v>
      </c>
      <c r="C83" s="492">
        <f>C81-C82</f>
        <v>-1000091.8</v>
      </c>
      <c r="D83" s="493">
        <f>D81-D82</f>
        <v>-917053.8</v>
      </c>
      <c r="E83" s="763">
        <f>IF(ISERROR(D83/B83),"-",D83/B83)</f>
        <v>11.04378477323635</v>
      </c>
      <c r="F83" s="764"/>
      <c r="G83" s="492">
        <f>G81-G82</f>
        <v>-100547</v>
      </c>
      <c r="H83" s="492">
        <f>H81-H82</f>
        <v>472582.58999999997</v>
      </c>
      <c r="I83" s="493">
        <f>H83-G83</f>
        <v>573129.59</v>
      </c>
      <c r="J83" s="763">
        <f>IF(ISERROR(I83/G83),"-",I83/G83)</f>
        <v>-5.7001162640357244</v>
      </c>
      <c r="K83" s="764"/>
      <c r="L83" s="492">
        <f>L81-L82</f>
        <v>-100547</v>
      </c>
      <c r="M83" s="492">
        <f>M81-M82</f>
        <v>-471042.47</v>
      </c>
      <c r="N83" s="493">
        <f>M83-L83</f>
        <v>-370495.47</v>
      </c>
      <c r="O83" s="763">
        <f>IF(ISERROR(N83/L83),"-",N83/L83)</f>
        <v>3.6847988502889195</v>
      </c>
      <c r="P83" s="764"/>
      <c r="Q83" s="492">
        <f>Q81-Q82</f>
        <v>-100547</v>
      </c>
      <c r="R83" s="492">
        <f>R81-R82</f>
        <v>-510147.58999999997</v>
      </c>
      <c r="S83" s="493">
        <f>R83-Q83</f>
        <v>-409600.58999999997</v>
      </c>
      <c r="T83" s="1171">
        <f>IF(ISERROR(S83/Q83),"-",S83/Q83)</f>
        <v>4.0737226371746544</v>
      </c>
      <c r="U83" s="764"/>
      <c r="V83" s="494">
        <f>V81-V82</f>
        <v>-384679</v>
      </c>
      <c r="W83" s="494">
        <f>W81-W82</f>
        <v>-1508699.27</v>
      </c>
      <c r="X83" s="493">
        <f>W83-V83</f>
        <v>-1124020.27</v>
      </c>
      <c r="Y83" s="1173">
        <f>IF(ISERROR(X83/V83),"-",X83/V83)</f>
        <v>2.9219694082598737</v>
      </c>
      <c r="Z83" s="764"/>
      <c r="AA83" s="494">
        <f>AA81-AA82</f>
        <v>-380070</v>
      </c>
      <c r="AB83" s="494">
        <f>AB81-AB82</f>
        <v>1128629.27</v>
      </c>
      <c r="AC83" s="1173">
        <f>IF(ISERROR(AB83/AA83),"-",AB83/AA83)</f>
        <v>-2.9695300076301736</v>
      </c>
      <c r="AE83" s="854"/>
    </row>
  </sheetData>
  <sheetProtection algorithmName="SHA-512" hashValue="ztdPYg491+XmX1Qlidq7u+Rj1Z8Ij/CtGfWal3qOBL6DnJfIhRl09/cmgotOYe0f39EWUR+dStAq6+N7dJLqrQ==" saltValue="M4DMpi/LRrdtHU5YNGIDqQ==" spinCount="100000" sheet="1" objects="1" scenarios="1"/>
  <mergeCells count="13">
    <mergeCell ref="AE9:AE11"/>
    <mergeCell ref="D10:E10"/>
    <mergeCell ref="I10:J10"/>
    <mergeCell ref="N10:O10"/>
    <mergeCell ref="S10:T10"/>
    <mergeCell ref="X10:Y10"/>
    <mergeCell ref="AB10:AC10"/>
    <mergeCell ref="B9:E9"/>
    <mergeCell ref="G9:J9"/>
    <mergeCell ref="L9:O9"/>
    <mergeCell ref="Q9:T9"/>
    <mergeCell ref="V9:Y9"/>
    <mergeCell ref="AA9:AC9"/>
  </mergeCells>
  <conditionalFormatting sqref="E56">
    <cfRule type="cellIs" dxfId="6" priority="1" stopIfTrue="1" operator="equal">
      <formula>""""""</formula>
    </cfRule>
  </conditionalFormatting>
  <pageMargins left="0.7" right="0.7" top="0.75" bottom="0.75" header="0.3" footer="0.3"/>
  <pageSetup paperSize="17" scale="43" fitToHeight="0" orientation="landscape" horizontalDpi="300" verticalDpi="300"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pageSetUpPr fitToPage="1"/>
  </sheetPr>
  <dimension ref="A1:L77"/>
  <sheetViews>
    <sheetView topLeftCell="A4" zoomScale="80" zoomScaleNormal="80" workbookViewId="0">
      <selection activeCell="B14" sqref="B14"/>
    </sheetView>
  </sheetViews>
  <sheetFormatPr defaultColWidth="8.85546875" defaultRowHeight="15.75" customHeight="1" x14ac:dyDescent="0.25"/>
  <cols>
    <col min="1" max="1" width="64.42578125" customWidth="1"/>
    <col min="2" max="2" width="16.42578125" customWidth="1"/>
    <col min="3" max="3" width="16.85546875" customWidth="1"/>
    <col min="4" max="4" width="18.140625" customWidth="1"/>
    <col min="5" max="5" width="17" customWidth="1"/>
    <col min="6" max="6" width="17.42578125" customWidth="1"/>
    <col min="7" max="8" width="8.85546875" customWidth="1"/>
    <col min="9" max="10" width="15.140625" bestFit="1" customWidth="1"/>
    <col min="11" max="11" width="8.85546875" customWidth="1"/>
    <col min="12" max="12" width="12.28515625" bestFit="1" customWidth="1"/>
    <col min="13" max="231" width="8.85546875" customWidth="1"/>
  </cols>
  <sheetData>
    <row r="1" spans="1:10" ht="18.75" customHeight="1" x14ac:dyDescent="0.25">
      <c r="A1" s="1461" t="s">
        <v>49</v>
      </c>
      <c r="B1" s="1463"/>
      <c r="C1" s="1463"/>
      <c r="D1" s="1463"/>
      <c r="E1" s="1463"/>
      <c r="F1" s="1463"/>
    </row>
    <row r="2" spans="1:10" ht="18.75" customHeight="1" x14ac:dyDescent="0.25">
      <c r="A2" s="1"/>
      <c r="B2" s="2"/>
      <c r="C2" s="2"/>
      <c r="D2" s="2"/>
      <c r="E2" s="2"/>
      <c r="F2" s="2"/>
    </row>
    <row r="3" spans="1:10" s="3" customFormat="1" ht="18.75" customHeight="1" x14ac:dyDescent="0.3">
      <c r="A3" s="1479" t="s">
        <v>189</v>
      </c>
      <c r="B3" s="1480"/>
      <c r="C3" s="1480"/>
      <c r="D3" s="1480"/>
      <c r="E3" s="1480"/>
      <c r="F3" s="1480"/>
      <c r="G3" s="1464"/>
      <c r="H3" s="1465"/>
    </row>
    <row r="4" spans="1:10" ht="18.75" customHeight="1" x14ac:dyDescent="0.3">
      <c r="A4" s="1464" t="s">
        <v>0</v>
      </c>
      <c r="B4" s="1465"/>
      <c r="C4" s="1465"/>
      <c r="D4" s="1465"/>
      <c r="E4" s="1465"/>
      <c r="F4" s="1465"/>
    </row>
    <row r="5" spans="1:10" ht="18.75" customHeight="1" x14ac:dyDescent="0.3">
      <c r="A5" s="1464" t="s">
        <v>1</v>
      </c>
      <c r="B5" s="1466"/>
      <c r="C5" s="1466"/>
      <c r="D5" s="1466"/>
      <c r="E5" s="1466"/>
      <c r="F5" s="1466"/>
    </row>
    <row r="6" spans="1:10" ht="18.75" customHeight="1" x14ac:dyDescent="0.3">
      <c r="A6" s="1481" t="s">
        <v>194</v>
      </c>
      <c r="B6" s="1482"/>
      <c r="C6" s="1482"/>
      <c r="D6" s="1482"/>
      <c r="E6" s="1482"/>
      <c r="F6" s="1482"/>
    </row>
    <row r="7" spans="1:10" ht="18.75" customHeight="1" x14ac:dyDescent="0.3">
      <c r="A7" s="1458" t="s">
        <v>2</v>
      </c>
      <c r="B7" s="1459"/>
      <c r="C7" s="1459"/>
      <c r="D7" s="1459"/>
      <c r="E7" s="1459"/>
      <c r="F7" s="1459"/>
    </row>
    <row r="8" spans="1:10" ht="16.5" customHeight="1" thickBot="1" x14ac:dyDescent="0.3">
      <c r="A8" s="7"/>
      <c r="B8" s="35"/>
      <c r="C8" s="36"/>
      <c r="D8" s="35"/>
      <c r="E8" s="36"/>
      <c r="F8" s="35"/>
    </row>
    <row r="9" spans="1:10" ht="17.45" customHeight="1" x14ac:dyDescent="0.25">
      <c r="A9" s="4"/>
      <c r="B9" s="37" t="s">
        <v>164</v>
      </c>
      <c r="C9" s="5" t="s">
        <v>165</v>
      </c>
      <c r="D9" s="37" t="s">
        <v>166</v>
      </c>
      <c r="E9" s="5" t="s">
        <v>167</v>
      </c>
      <c r="F9" s="37" t="s">
        <v>3</v>
      </c>
    </row>
    <row r="10" spans="1:10" ht="15" customHeight="1" x14ac:dyDescent="0.25">
      <c r="A10" s="8"/>
      <c r="B10" s="44">
        <v>44927</v>
      </c>
      <c r="C10" s="45">
        <v>45016</v>
      </c>
      <c r="D10" s="44">
        <v>45107</v>
      </c>
      <c r="E10" s="45">
        <v>45199</v>
      </c>
      <c r="F10" s="44">
        <v>45291</v>
      </c>
    </row>
    <row r="11" spans="1:10" ht="15" customHeight="1" thickBot="1" x14ac:dyDescent="0.3">
      <c r="A11" s="9"/>
      <c r="B11" s="38" t="s">
        <v>107</v>
      </c>
      <c r="C11" s="39" t="s">
        <v>107</v>
      </c>
      <c r="D11" s="38" t="s">
        <v>107</v>
      </c>
      <c r="E11" s="39" t="s">
        <v>107</v>
      </c>
      <c r="F11" s="38" t="s">
        <v>107</v>
      </c>
    </row>
    <row r="12" spans="1:10" ht="15" customHeight="1" x14ac:dyDescent="0.25">
      <c r="A12" s="10" t="s">
        <v>4</v>
      </c>
      <c r="B12" s="726"/>
      <c r="C12" s="727"/>
      <c r="D12" s="726"/>
      <c r="E12" s="727"/>
      <c r="F12" s="726"/>
    </row>
    <row r="13" spans="1:10" ht="15" customHeight="1" x14ac:dyDescent="0.25">
      <c r="A13" s="11" t="s">
        <v>5</v>
      </c>
      <c r="B13" s="661"/>
      <c r="C13" s="662"/>
      <c r="D13" s="661"/>
      <c r="E13" s="662"/>
      <c r="F13" s="661"/>
    </row>
    <row r="14" spans="1:10" ht="15" customHeight="1" x14ac:dyDescent="0.3">
      <c r="A14" s="12" t="s">
        <v>6</v>
      </c>
      <c r="B14" s="954">
        <v>4459040</v>
      </c>
      <c r="C14" s="1061">
        <v>4462664</v>
      </c>
      <c r="D14" s="954">
        <v>4026973</v>
      </c>
      <c r="E14" s="954">
        <v>4017772</v>
      </c>
      <c r="F14" s="954">
        <v>4714982.5</v>
      </c>
      <c r="H14" s="34"/>
      <c r="J14" s="34"/>
    </row>
    <row r="15" spans="1:10" ht="15" customHeight="1" x14ac:dyDescent="0.3">
      <c r="A15" s="13" t="s">
        <v>7</v>
      </c>
      <c r="B15" s="954">
        <v>12793</v>
      </c>
      <c r="C15" s="1061">
        <v>54831</v>
      </c>
      <c r="D15" s="954">
        <v>524481</v>
      </c>
      <c r="E15" s="954">
        <v>0</v>
      </c>
      <c r="F15" s="954">
        <v>0</v>
      </c>
    </row>
    <row r="16" spans="1:10" ht="15" customHeight="1" x14ac:dyDescent="0.3">
      <c r="A16" s="13" t="s">
        <v>8</v>
      </c>
      <c r="B16" s="954">
        <v>0</v>
      </c>
      <c r="C16" s="1061">
        <v>0</v>
      </c>
      <c r="D16" s="954">
        <v>0</v>
      </c>
      <c r="E16" s="954">
        <v>0</v>
      </c>
      <c r="F16" s="954">
        <v>0</v>
      </c>
    </row>
    <row r="17" spans="1:9" ht="15" customHeight="1" x14ac:dyDescent="0.3">
      <c r="A17" s="13" t="s">
        <v>9</v>
      </c>
      <c r="B17" s="954">
        <v>0</v>
      </c>
      <c r="C17" s="1061">
        <v>0</v>
      </c>
      <c r="D17" s="954">
        <v>0</v>
      </c>
      <c r="E17" s="954">
        <v>0</v>
      </c>
      <c r="F17" s="954">
        <v>0</v>
      </c>
    </row>
    <row r="18" spans="1:9" ht="15" customHeight="1" x14ac:dyDescent="0.3">
      <c r="A18" s="13" t="s">
        <v>10</v>
      </c>
      <c r="B18" s="954">
        <v>2797969</v>
      </c>
      <c r="C18" s="1061">
        <v>2846846</v>
      </c>
      <c r="D18" s="954">
        <v>1653764</v>
      </c>
      <c r="E18" s="954">
        <v>1437327</v>
      </c>
      <c r="F18" s="954">
        <v>1148459.1599999999</v>
      </c>
      <c r="H18" s="42"/>
    </row>
    <row r="19" spans="1:9" ht="15" customHeight="1" x14ac:dyDescent="0.3">
      <c r="A19" s="14" t="s">
        <v>11</v>
      </c>
      <c r="B19" s="1062">
        <v>0</v>
      </c>
      <c r="C19" s="1063">
        <v>0</v>
      </c>
      <c r="D19" s="954">
        <v>0</v>
      </c>
      <c r="E19" s="954">
        <v>0</v>
      </c>
      <c r="F19" s="954">
        <v>0</v>
      </c>
      <c r="H19" s="42"/>
      <c r="I19" s="43"/>
    </row>
    <row r="20" spans="1:9" ht="15" customHeight="1" x14ac:dyDescent="0.3">
      <c r="A20" s="15" t="s">
        <v>12</v>
      </c>
      <c r="B20" s="1065">
        <f>SUM(B14:B19)</f>
        <v>7269802</v>
      </c>
      <c r="C20" s="1066">
        <f>SUM(C14:C19)</f>
        <v>7364341</v>
      </c>
      <c r="D20" s="1065">
        <f>SUM(D14:D19)</f>
        <v>6205218</v>
      </c>
      <c r="E20" s="1066">
        <f>SUM(E14:E19)</f>
        <v>5455099</v>
      </c>
      <c r="F20" s="1065">
        <f>SUM(F14:F19)</f>
        <v>5863441.6600000001</v>
      </c>
    </row>
    <row r="21" spans="1:9" ht="15" customHeight="1" x14ac:dyDescent="0.3">
      <c r="A21" s="16"/>
      <c r="B21" s="1067"/>
      <c r="C21" s="1068"/>
      <c r="D21" s="1067"/>
      <c r="E21" s="1068"/>
      <c r="F21" s="1067"/>
    </row>
    <row r="22" spans="1:9" ht="15" customHeight="1" x14ac:dyDescent="0.3">
      <c r="A22" s="17" t="s">
        <v>13</v>
      </c>
      <c r="B22" s="954"/>
      <c r="C22" s="1061"/>
      <c r="D22" s="954"/>
      <c r="E22" s="1061"/>
      <c r="F22" s="954"/>
    </row>
    <row r="23" spans="1:9" ht="15" customHeight="1" x14ac:dyDescent="0.3">
      <c r="A23" s="13" t="s">
        <v>14</v>
      </c>
      <c r="B23" s="954">
        <v>0</v>
      </c>
      <c r="C23" s="1061">
        <v>0</v>
      </c>
      <c r="D23" s="954">
        <v>0</v>
      </c>
      <c r="E23" s="954">
        <v>0</v>
      </c>
      <c r="F23" s="954">
        <v>0</v>
      </c>
    </row>
    <row r="24" spans="1:9" ht="15" customHeight="1" x14ac:dyDescent="0.3">
      <c r="A24" s="13" t="s">
        <v>15</v>
      </c>
      <c r="B24" s="954">
        <v>0</v>
      </c>
      <c r="C24" s="1061">
        <v>0</v>
      </c>
      <c r="D24" s="954">
        <v>0</v>
      </c>
      <c r="E24" s="954">
        <v>0</v>
      </c>
      <c r="F24" s="954">
        <v>0</v>
      </c>
    </row>
    <row r="25" spans="1:9" ht="15" customHeight="1" x14ac:dyDescent="0.3">
      <c r="A25" s="13" t="s">
        <v>16</v>
      </c>
      <c r="B25" s="954">
        <v>0</v>
      </c>
      <c r="C25" s="1061">
        <v>0</v>
      </c>
      <c r="D25" s="954">
        <v>0</v>
      </c>
      <c r="E25" s="954">
        <v>0</v>
      </c>
      <c r="F25" s="954">
        <v>0</v>
      </c>
    </row>
    <row r="26" spans="1:9" ht="15" customHeight="1" x14ac:dyDescent="0.3">
      <c r="A26" s="13" t="s">
        <v>17</v>
      </c>
      <c r="B26" s="954">
        <v>10678492.43</v>
      </c>
      <c r="C26" s="1061">
        <v>10678492.43</v>
      </c>
      <c r="D26" s="954">
        <v>10678492.43</v>
      </c>
      <c r="E26" s="954">
        <v>11445340</v>
      </c>
      <c r="F26" s="954">
        <v>11445339.65</v>
      </c>
    </row>
    <row r="27" spans="1:9" ht="15" customHeight="1" x14ac:dyDescent="0.3">
      <c r="A27" s="13" t="s">
        <v>119</v>
      </c>
      <c r="B27" s="954">
        <v>8777985.1199999992</v>
      </c>
      <c r="C27" s="1061">
        <v>8401409.6899999995</v>
      </c>
      <c r="D27" s="954">
        <v>8475476.1300000008</v>
      </c>
      <c r="E27" s="954">
        <v>8244777</v>
      </c>
      <c r="F27" s="954">
        <v>8173861.7699999996</v>
      </c>
      <c r="H27" s="34"/>
      <c r="I27" s="34"/>
    </row>
    <row r="28" spans="1:9" ht="15" customHeight="1" x14ac:dyDescent="0.3">
      <c r="A28" s="13" t="s">
        <v>118</v>
      </c>
      <c r="B28" s="954">
        <v>9361314.7799999993</v>
      </c>
      <c r="C28" s="1061">
        <v>8885498.6199999992</v>
      </c>
      <c r="D28" s="954">
        <v>9145086.9900000002</v>
      </c>
      <c r="E28" s="954">
        <v>8460944</v>
      </c>
      <c r="F28" s="954">
        <v>7985127.6500000004</v>
      </c>
    </row>
    <row r="29" spans="1:9" ht="15" customHeight="1" x14ac:dyDescent="0.3">
      <c r="A29" s="14" t="s">
        <v>18</v>
      </c>
      <c r="B29" s="1062">
        <v>0</v>
      </c>
      <c r="C29" s="1063">
        <v>0</v>
      </c>
      <c r="D29" s="954">
        <v>0</v>
      </c>
      <c r="E29" s="954">
        <v>0</v>
      </c>
      <c r="F29" s="954">
        <v>0</v>
      </c>
    </row>
    <row r="30" spans="1:9" ht="15" customHeight="1" x14ac:dyDescent="0.3">
      <c r="A30" s="15" t="s">
        <v>19</v>
      </c>
      <c r="B30" s="1065">
        <f>SUM(B23:B29)</f>
        <v>28817792.329999998</v>
      </c>
      <c r="C30" s="1065">
        <f t="shared" ref="C30:F30" si="0">SUM(C23:C29)</f>
        <v>27965400.739999995</v>
      </c>
      <c r="D30" s="1065">
        <f t="shared" si="0"/>
        <v>28299055.550000004</v>
      </c>
      <c r="E30" s="1065">
        <f t="shared" si="0"/>
        <v>28151061</v>
      </c>
      <c r="F30" s="1065">
        <f t="shared" si="0"/>
        <v>27604329.07</v>
      </c>
    </row>
    <row r="31" spans="1:9" ht="15" customHeight="1" x14ac:dyDescent="0.3">
      <c r="A31" s="16"/>
      <c r="B31" s="1067"/>
      <c r="C31" s="1068"/>
      <c r="D31" s="1067"/>
      <c r="E31" s="1068"/>
      <c r="F31" s="1067"/>
    </row>
    <row r="32" spans="1:9" ht="15" customHeight="1" x14ac:dyDescent="0.3">
      <c r="A32" s="17" t="s">
        <v>20</v>
      </c>
      <c r="B32" s="385"/>
      <c r="C32" s="387"/>
      <c r="D32" s="385"/>
      <c r="E32" s="387"/>
      <c r="F32" s="385"/>
    </row>
    <row r="33" spans="1:12" ht="15" customHeight="1" x14ac:dyDescent="0.3">
      <c r="A33" s="18" t="s">
        <v>21</v>
      </c>
      <c r="B33" s="385">
        <v>0</v>
      </c>
      <c r="C33" s="387">
        <v>0</v>
      </c>
      <c r="D33" s="954">
        <v>0</v>
      </c>
      <c r="E33" s="954">
        <v>0</v>
      </c>
      <c r="F33" s="954">
        <v>0</v>
      </c>
    </row>
    <row r="34" spans="1:12" ht="15" customHeight="1" x14ac:dyDescent="0.3">
      <c r="A34" s="18" t="s">
        <v>22</v>
      </c>
      <c r="B34" s="385">
        <v>4232</v>
      </c>
      <c r="C34" s="387">
        <v>4232</v>
      </c>
      <c r="D34" s="954">
        <v>6824</v>
      </c>
      <c r="E34" s="954">
        <v>6824</v>
      </c>
      <c r="F34" s="954">
        <v>2040.5699999999997</v>
      </c>
    </row>
    <row r="35" spans="1:12" ht="15" customHeight="1" x14ac:dyDescent="0.3">
      <c r="A35" s="18" t="s">
        <v>23</v>
      </c>
      <c r="B35" s="385">
        <v>8299</v>
      </c>
      <c r="C35" s="387">
        <v>8299</v>
      </c>
      <c r="D35" s="954">
        <v>8421</v>
      </c>
      <c r="E35" s="954">
        <v>11542</v>
      </c>
      <c r="F35" s="954">
        <v>2481.7600000000002</v>
      </c>
    </row>
    <row r="36" spans="1:12" ht="15" customHeight="1" x14ac:dyDescent="0.3">
      <c r="A36" s="18" t="s">
        <v>24</v>
      </c>
      <c r="B36" s="385">
        <v>-1</v>
      </c>
      <c r="C36" s="387">
        <v>-1</v>
      </c>
      <c r="D36" s="954">
        <v>3369</v>
      </c>
      <c r="E36" s="954">
        <v>3369</v>
      </c>
      <c r="F36" s="954">
        <v>2807.7</v>
      </c>
    </row>
    <row r="37" spans="1:12" ht="15" customHeight="1" x14ac:dyDescent="0.3">
      <c r="A37" s="18" t="s">
        <v>25</v>
      </c>
      <c r="B37" s="385">
        <v>0</v>
      </c>
      <c r="C37" s="387">
        <v>0</v>
      </c>
      <c r="D37" s="954">
        <v>0</v>
      </c>
      <c r="E37" s="954">
        <v>0</v>
      </c>
      <c r="F37" s="954">
        <v>0</v>
      </c>
    </row>
    <row r="38" spans="1:12" ht="15" customHeight="1" x14ac:dyDescent="0.3">
      <c r="A38" s="19" t="s">
        <v>26</v>
      </c>
      <c r="B38" s="388">
        <v>0</v>
      </c>
      <c r="C38" s="395">
        <v>0</v>
      </c>
      <c r="D38" s="954">
        <v>0</v>
      </c>
      <c r="E38" s="954">
        <v>0</v>
      </c>
      <c r="F38" s="954">
        <v>0</v>
      </c>
    </row>
    <row r="39" spans="1:12" ht="15" customHeight="1" x14ac:dyDescent="0.3">
      <c r="A39" s="15" t="s">
        <v>27</v>
      </c>
      <c r="B39" s="1065">
        <f>SUM(B32:B38)</f>
        <v>12530</v>
      </c>
      <c r="C39" s="1066">
        <f>SUM(C32:C38)</f>
        <v>12530</v>
      </c>
      <c r="D39" s="1065">
        <f>SUM(D32:D38)</f>
        <v>18614</v>
      </c>
      <c r="E39" s="1066">
        <f>SUM(E32:E38)</f>
        <v>21735</v>
      </c>
      <c r="F39" s="1065">
        <f>SUM(F32:F38)</f>
        <v>7330.03</v>
      </c>
    </row>
    <row r="40" spans="1:12" ht="15" customHeight="1" x14ac:dyDescent="0.3">
      <c r="A40" s="20"/>
      <c r="B40" s="1069"/>
      <c r="C40" s="1070"/>
      <c r="D40" s="1069"/>
      <c r="E40" s="1070"/>
      <c r="F40" s="1069"/>
    </row>
    <row r="41" spans="1:12" ht="15" customHeight="1" x14ac:dyDescent="0.3">
      <c r="A41" s="11" t="s">
        <v>28</v>
      </c>
      <c r="B41" s="954">
        <v>46245.84</v>
      </c>
      <c r="C41" s="1061">
        <v>46245.84</v>
      </c>
      <c r="D41" s="954">
        <v>46245.84</v>
      </c>
      <c r="E41" s="954">
        <v>53689.739999999991</v>
      </c>
      <c r="F41" s="954">
        <v>18006.199999999983</v>
      </c>
    </row>
    <row r="42" spans="1:12" ht="15" customHeight="1" x14ac:dyDescent="0.3">
      <c r="A42" s="21"/>
      <c r="B42" s="388"/>
      <c r="C42" s="395"/>
      <c r="D42" s="388"/>
      <c r="E42" s="395"/>
      <c r="F42" s="388"/>
    </row>
    <row r="43" spans="1:12" ht="15" customHeight="1" thickBot="1" x14ac:dyDescent="0.35">
      <c r="A43" s="15" t="s">
        <v>29</v>
      </c>
      <c r="B43" s="1065">
        <f>B20+B30+B39+B41</f>
        <v>36146370.170000002</v>
      </c>
      <c r="C43" s="1071">
        <f>C20+C30+C39+C41</f>
        <v>35388517.579999998</v>
      </c>
      <c r="D43" s="1065">
        <f>D20+D30+D39+D41</f>
        <v>34569133.390000008</v>
      </c>
      <c r="E43" s="1066">
        <f>E20+E30+E39+E41</f>
        <v>33681584.740000002</v>
      </c>
      <c r="F43" s="1065">
        <f>F20+F30+F39+F41</f>
        <v>33493106.960000001</v>
      </c>
      <c r="I43" s="40"/>
      <c r="J43" s="40"/>
      <c r="L43" s="41"/>
    </row>
    <row r="44" spans="1:12" ht="15" customHeight="1" x14ac:dyDescent="0.3">
      <c r="A44" s="22"/>
      <c r="B44" s="398"/>
      <c r="C44" s="733"/>
      <c r="D44" s="399"/>
      <c r="E44" s="400"/>
      <c r="F44" s="398"/>
    </row>
    <row r="45" spans="1:12" ht="15" customHeight="1" x14ac:dyDescent="0.3">
      <c r="A45" s="11" t="s">
        <v>30</v>
      </c>
      <c r="B45" s="385"/>
      <c r="C45" s="385"/>
      <c r="D45" s="386"/>
      <c r="E45" s="387"/>
      <c r="F45" s="385"/>
    </row>
    <row r="46" spans="1:12" ht="15" customHeight="1" x14ac:dyDescent="0.3">
      <c r="A46" s="23"/>
      <c r="B46" s="385"/>
      <c r="C46" s="385"/>
      <c r="D46" s="386"/>
      <c r="E46" s="387"/>
      <c r="F46" s="385"/>
    </row>
    <row r="47" spans="1:12" ht="15" customHeight="1" x14ac:dyDescent="0.3">
      <c r="A47" s="11" t="s">
        <v>31</v>
      </c>
      <c r="B47" s="954"/>
      <c r="C47" s="954"/>
      <c r="D47" s="1072"/>
      <c r="E47" s="1061"/>
      <c r="F47" s="954"/>
    </row>
    <row r="48" spans="1:12" ht="15" customHeight="1" x14ac:dyDescent="0.3">
      <c r="A48" s="18" t="s">
        <v>32</v>
      </c>
      <c r="B48" s="385">
        <v>240083.27</v>
      </c>
      <c r="C48" s="385">
        <v>240083.27</v>
      </c>
      <c r="D48" s="387">
        <v>240083.27</v>
      </c>
      <c r="E48" s="954">
        <v>240083</v>
      </c>
      <c r="F48" s="954">
        <v>240083.27</v>
      </c>
    </row>
    <row r="49" spans="1:8" ht="15" customHeight="1" x14ac:dyDescent="0.3">
      <c r="A49" s="24" t="s">
        <v>50</v>
      </c>
      <c r="B49" s="385">
        <v>0</v>
      </c>
      <c r="C49" s="385">
        <v>0</v>
      </c>
      <c r="D49" s="386">
        <v>0</v>
      </c>
      <c r="E49" s="954">
        <v>0</v>
      </c>
      <c r="F49" s="954">
        <v>0</v>
      </c>
    </row>
    <row r="50" spans="1:8" ht="15" customHeight="1" x14ac:dyDescent="0.3">
      <c r="A50" s="24" t="s">
        <v>108</v>
      </c>
      <c r="B50" s="385">
        <v>8063.26</v>
      </c>
      <c r="C50" s="385">
        <v>8795.8799999999992</v>
      </c>
      <c r="D50" s="387">
        <v>6068.74</v>
      </c>
      <c r="E50" s="954">
        <v>7421</v>
      </c>
      <c r="F50" s="954">
        <v>7385.7</v>
      </c>
    </row>
    <row r="51" spans="1:8" ht="15" customHeight="1" x14ac:dyDescent="0.3">
      <c r="A51" s="24" t="s">
        <v>109</v>
      </c>
      <c r="B51" s="385">
        <v>400737.28000000003</v>
      </c>
      <c r="C51" s="385">
        <v>400737.28000000003</v>
      </c>
      <c r="D51" s="387">
        <v>400737.28000000003</v>
      </c>
      <c r="E51" s="954">
        <v>400737</v>
      </c>
      <c r="F51" s="954">
        <v>400737.28000000003</v>
      </c>
    </row>
    <row r="52" spans="1:8" ht="15" customHeight="1" x14ac:dyDescent="0.3">
      <c r="A52" s="24" t="s">
        <v>33</v>
      </c>
      <c r="B52" s="385">
        <v>2476.39</v>
      </c>
      <c r="C52" s="385">
        <v>2476.39</v>
      </c>
      <c r="D52" s="386">
        <v>2476.39</v>
      </c>
      <c r="E52" s="954">
        <v>2476</v>
      </c>
      <c r="F52" s="954">
        <v>2424.39</v>
      </c>
    </row>
    <row r="53" spans="1:8" ht="15" customHeight="1" x14ac:dyDescent="0.3">
      <c r="A53" s="24" t="s">
        <v>34</v>
      </c>
      <c r="B53" s="385">
        <v>0</v>
      </c>
      <c r="C53" s="385">
        <v>0</v>
      </c>
      <c r="D53" s="387">
        <v>0</v>
      </c>
      <c r="E53" s="954">
        <v>0</v>
      </c>
      <c r="F53" s="954">
        <v>0</v>
      </c>
    </row>
    <row r="54" spans="1:8" ht="15" customHeight="1" x14ac:dyDescent="0.3">
      <c r="A54" s="18" t="s">
        <v>35</v>
      </c>
      <c r="B54" s="385">
        <v>0</v>
      </c>
      <c r="C54" s="385">
        <v>0</v>
      </c>
      <c r="D54" s="386">
        <v>0</v>
      </c>
      <c r="E54" s="954">
        <v>0</v>
      </c>
      <c r="F54" s="954">
        <v>0</v>
      </c>
    </row>
    <row r="55" spans="1:8" ht="15" customHeight="1" x14ac:dyDescent="0.3">
      <c r="A55" s="18" t="s">
        <v>36</v>
      </c>
      <c r="B55" s="385">
        <v>0</v>
      </c>
      <c r="C55" s="385">
        <v>0</v>
      </c>
      <c r="D55" s="386">
        <v>0</v>
      </c>
      <c r="E55" s="954">
        <v>0</v>
      </c>
      <c r="F55" s="954">
        <v>0</v>
      </c>
    </row>
    <row r="56" spans="1:8" ht="15" customHeight="1" x14ac:dyDescent="0.3">
      <c r="A56" s="19" t="s">
        <v>37</v>
      </c>
      <c r="B56" s="388">
        <v>0</v>
      </c>
      <c r="C56" s="385">
        <v>0</v>
      </c>
      <c r="D56" s="394">
        <v>0</v>
      </c>
      <c r="E56" s="954">
        <v>0</v>
      </c>
      <c r="F56" s="954">
        <v>0</v>
      </c>
    </row>
    <row r="57" spans="1:8" ht="15" customHeight="1" x14ac:dyDescent="0.3">
      <c r="A57" s="15" t="s">
        <v>38</v>
      </c>
      <c r="B57" s="1065">
        <f>SUM(B48:B56)</f>
        <v>651360.20000000007</v>
      </c>
      <c r="C57" s="1073">
        <f>SUM(C48:C56)</f>
        <v>652092.82000000007</v>
      </c>
      <c r="D57" s="1065">
        <f>SUM(D48:D56)</f>
        <v>649365.68000000005</v>
      </c>
      <c r="E57" s="1066">
        <f>SUM(E48:E56)</f>
        <v>650717</v>
      </c>
      <c r="F57" s="1065">
        <f>SUM(F48:F56)</f>
        <v>650630.64</v>
      </c>
      <c r="H57" s="34"/>
    </row>
    <row r="58" spans="1:8" ht="15" customHeight="1" x14ac:dyDescent="0.3">
      <c r="A58" s="25"/>
      <c r="B58" s="1067"/>
      <c r="C58" s="1061"/>
      <c r="D58" s="1067"/>
      <c r="E58" s="1068"/>
      <c r="F58" s="1067"/>
    </row>
    <row r="59" spans="1:8" ht="15" customHeight="1" x14ac:dyDescent="0.3">
      <c r="A59" s="11" t="s">
        <v>39</v>
      </c>
      <c r="B59" s="385"/>
      <c r="C59" s="387"/>
      <c r="D59" s="385"/>
      <c r="E59" s="387"/>
      <c r="F59" s="385"/>
    </row>
    <row r="60" spans="1:8" ht="15" customHeight="1" x14ac:dyDescent="0.3">
      <c r="A60" s="18" t="s">
        <v>117</v>
      </c>
      <c r="B60" s="385">
        <v>0</v>
      </c>
      <c r="C60" s="387">
        <v>0</v>
      </c>
      <c r="D60" s="385">
        <v>0</v>
      </c>
      <c r="E60" s="387">
        <v>0</v>
      </c>
      <c r="F60" s="385">
        <v>0</v>
      </c>
    </row>
    <row r="61" spans="1:8" ht="15" customHeight="1" x14ac:dyDescent="0.3">
      <c r="A61" s="18" t="s">
        <v>40</v>
      </c>
      <c r="B61" s="385">
        <v>0</v>
      </c>
      <c r="C61" s="387">
        <v>0</v>
      </c>
      <c r="D61" s="385">
        <v>0</v>
      </c>
      <c r="E61" s="387">
        <v>0</v>
      </c>
      <c r="F61" s="385">
        <v>7324.33</v>
      </c>
    </row>
    <row r="62" spans="1:8" ht="15" customHeight="1" x14ac:dyDescent="0.3">
      <c r="A62" s="26"/>
      <c r="B62" s="388"/>
      <c r="C62" s="395"/>
      <c r="D62" s="388"/>
      <c r="E62" s="395"/>
      <c r="F62" s="388"/>
    </row>
    <row r="63" spans="1:8" ht="15" customHeight="1" x14ac:dyDescent="0.3">
      <c r="A63" s="15" t="s">
        <v>41</v>
      </c>
      <c r="B63" s="1065">
        <f>SUM(B60:B62)</f>
        <v>0</v>
      </c>
      <c r="C63" s="1066">
        <f>SUM(C60:C62)</f>
        <v>0</v>
      </c>
      <c r="D63" s="1065">
        <f>SUM(D60:D62)</f>
        <v>0</v>
      </c>
      <c r="E63" s="1066">
        <f>SUM(E60:E62)</f>
        <v>0</v>
      </c>
      <c r="F63" s="1065">
        <f>SUM(F60:F62)</f>
        <v>7324.33</v>
      </c>
      <c r="H63" s="34"/>
    </row>
    <row r="64" spans="1:8" ht="15" customHeight="1" x14ac:dyDescent="0.3">
      <c r="A64" s="25"/>
      <c r="B64" s="1067"/>
      <c r="C64" s="1068"/>
      <c r="D64" s="1067"/>
      <c r="E64" s="1068"/>
      <c r="F64" s="1067"/>
    </row>
    <row r="65" spans="1:6" ht="15" customHeight="1" x14ac:dyDescent="0.3">
      <c r="A65" s="11" t="s">
        <v>42</v>
      </c>
      <c r="B65" s="385"/>
      <c r="C65" s="387"/>
      <c r="D65" s="385"/>
      <c r="E65" s="387"/>
      <c r="F65" s="385"/>
    </row>
    <row r="66" spans="1:6" ht="15" customHeight="1" x14ac:dyDescent="0.3">
      <c r="A66" s="18" t="s">
        <v>43</v>
      </c>
      <c r="B66" s="385">
        <v>37865865.420000002</v>
      </c>
      <c r="C66" s="387">
        <v>35500772.009999998</v>
      </c>
      <c r="D66" s="954">
        <v>34918040.439999998</v>
      </c>
      <c r="E66" s="954">
        <v>34709713</v>
      </c>
      <c r="F66" s="954">
        <v>34698022.200000003</v>
      </c>
    </row>
    <row r="67" spans="1:6" ht="15" customHeight="1" x14ac:dyDescent="0.3">
      <c r="A67" s="18" t="s">
        <v>44</v>
      </c>
      <c r="B67" s="385">
        <v>0</v>
      </c>
      <c r="C67" s="387">
        <v>0</v>
      </c>
      <c r="D67" s="954">
        <v>0</v>
      </c>
      <c r="E67" s="954">
        <v>0</v>
      </c>
      <c r="F67" s="954">
        <v>0</v>
      </c>
    </row>
    <row r="68" spans="1:6" ht="15" customHeight="1" x14ac:dyDescent="0.3">
      <c r="A68" s="18" t="s">
        <v>45</v>
      </c>
      <c r="B68" s="385">
        <v>-2787.58</v>
      </c>
      <c r="C68" s="387">
        <v>-2787.58</v>
      </c>
      <c r="D68" s="954">
        <v>-2787.58</v>
      </c>
      <c r="E68" s="954">
        <v>-2788</v>
      </c>
      <c r="F68" s="954">
        <v>-2787.58</v>
      </c>
    </row>
    <row r="69" spans="1:6" ht="15" customHeight="1" x14ac:dyDescent="0.3">
      <c r="A69" s="19" t="s">
        <v>46</v>
      </c>
      <c r="B69" s="388">
        <v>-2368068.84</v>
      </c>
      <c r="C69" s="395">
        <v>-761560.77</v>
      </c>
      <c r="D69" s="954">
        <v>-995484.28</v>
      </c>
      <c r="E69" s="954">
        <v>-1676060</v>
      </c>
      <c r="F69" s="954">
        <v>-1860082.76</v>
      </c>
    </row>
    <row r="70" spans="1:6" ht="15" customHeight="1" x14ac:dyDescent="0.3">
      <c r="A70" s="15" t="s">
        <v>47</v>
      </c>
      <c r="B70" s="1065">
        <f>SUM(B66:B69)</f>
        <v>35495009</v>
      </c>
      <c r="C70" s="1066">
        <f>SUM(C66:C69)</f>
        <v>34736423.659999996</v>
      </c>
      <c r="D70" s="1065">
        <f>SUM(D66:D69)</f>
        <v>33919768.579999998</v>
      </c>
      <c r="E70" s="1066">
        <f>SUM(E66:E69)</f>
        <v>33030865</v>
      </c>
      <c r="F70" s="1065">
        <f>SUM(F66:F69)</f>
        <v>32835151.860000003</v>
      </c>
    </row>
    <row r="71" spans="1:6" ht="15.75" customHeight="1" x14ac:dyDescent="0.3">
      <c r="A71" s="27"/>
      <c r="B71" s="407"/>
      <c r="C71" s="409"/>
      <c r="D71" s="407"/>
      <c r="E71" s="409"/>
      <c r="F71" s="407"/>
    </row>
    <row r="72" spans="1:6" ht="16.5" customHeight="1" thickBot="1" x14ac:dyDescent="0.35">
      <c r="A72" s="28" t="s">
        <v>48</v>
      </c>
      <c r="B72" s="1074">
        <f>B70+B63+B57</f>
        <v>36146369.200000003</v>
      </c>
      <c r="C72" s="1075">
        <f>C70+C63+C57</f>
        <v>35388516.479999997</v>
      </c>
      <c r="D72" s="1074">
        <f>D70+D63+D57</f>
        <v>34569134.259999998</v>
      </c>
      <c r="E72" s="1075">
        <f>E70+E63+E57</f>
        <v>33681582</v>
      </c>
      <c r="F72" s="1074">
        <f>F70+F63+F57</f>
        <v>33493106.830000002</v>
      </c>
    </row>
    <row r="75" spans="1:6" ht="15.75" customHeight="1" x14ac:dyDescent="0.25">
      <c r="C75" s="40"/>
    </row>
    <row r="77" spans="1:6" ht="15.75" customHeight="1" x14ac:dyDescent="0.25">
      <c r="B77" s="34"/>
      <c r="C77" s="41"/>
    </row>
  </sheetData>
  <sheetProtection algorithmName="SHA-512" hashValue="1NJM9kGWu35P8gWzkUaXsW8bbtQwLz9iUvsNd3j1DlXj5L+wNVqhMOxfWw1RC5LbgJGXCm50PBiVrJITpKsrDg==" saltValue="sN5p5JhE9KZAuYN68FsASQ==" spinCount="100000" sheet="1" objects="1" scenarios="1"/>
  <mergeCells count="7">
    <mergeCell ref="A7:F7"/>
    <mergeCell ref="A1:F1"/>
    <mergeCell ref="A3:F3"/>
    <mergeCell ref="G3:H3"/>
    <mergeCell ref="A4:F4"/>
    <mergeCell ref="A5:F5"/>
    <mergeCell ref="A6:F6"/>
  </mergeCells>
  <pageMargins left="0.7" right="0.7" top="0.75" bottom="0.75" header="0.3" footer="0.3"/>
  <pageSetup scale="53" fitToHeight="0" orientation="portrait" horizontalDpi="300" verticalDpi="30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59999389629810485"/>
    <pageSetUpPr fitToPage="1"/>
  </sheetPr>
  <dimension ref="A1:AE83"/>
  <sheetViews>
    <sheetView zoomScale="70" zoomScaleNormal="70" workbookViewId="0">
      <pane xSplit="1" ySplit="11" topLeftCell="P39" activePane="bottomRight" state="frozen"/>
      <selection pane="topRight" activeCell="B1" sqref="B1"/>
      <selection pane="bottomLeft" activeCell="A12" sqref="A12"/>
      <selection pane="bottomRight" activeCell="R45" sqref="R45"/>
    </sheetView>
  </sheetViews>
  <sheetFormatPr defaultRowHeight="18.75" x14ac:dyDescent="0.3"/>
  <cols>
    <col min="1" max="1" width="63.28515625" style="49" customWidth="1"/>
    <col min="2" max="3" width="14.140625" style="414" customWidth="1"/>
    <col min="4" max="4" width="13.140625" style="414" customWidth="1"/>
    <col min="5" max="5" width="11" style="49" customWidth="1"/>
    <col min="6" max="6" width="1" style="49" customWidth="1"/>
    <col min="7" max="7" width="14.5703125" style="414" customWidth="1"/>
    <col min="8" max="8" width="14.28515625" style="414" customWidth="1"/>
    <col min="9" max="9" width="13" style="414" customWidth="1"/>
    <col min="10" max="10" width="11.140625" style="49" customWidth="1"/>
    <col min="11" max="11" width="1.140625" style="49" customWidth="1"/>
    <col min="12" max="12" width="14" style="414" customWidth="1"/>
    <col min="13" max="13" width="14.140625" style="414" customWidth="1"/>
    <col min="14" max="14" width="12.85546875" style="414" customWidth="1"/>
    <col min="15" max="15" width="9.5703125" style="49" customWidth="1"/>
    <col min="16" max="16" width="1" style="49" customWidth="1"/>
    <col min="17" max="17" width="13.85546875" style="414" customWidth="1"/>
    <col min="18" max="18" width="13.140625" style="414" customWidth="1"/>
    <col min="19" max="19" width="12.85546875" style="414" customWidth="1"/>
    <col min="20" max="20" width="10.140625" style="49" customWidth="1"/>
    <col min="21" max="21" width="1.28515625" style="49" customWidth="1"/>
    <col min="22" max="22" width="14.28515625" style="414" customWidth="1"/>
    <col min="23" max="23" width="14.140625" style="414" customWidth="1"/>
    <col min="24" max="24" width="13" style="414" customWidth="1"/>
    <col min="25" max="25" width="9.42578125" style="49" customWidth="1"/>
    <col min="26" max="26" width="1" style="49" customWidth="1"/>
    <col min="27" max="27" width="16.28515625" style="414" customWidth="1"/>
    <col min="28" max="28" width="13.7109375" style="414" customWidth="1"/>
    <col min="29" max="29" width="11" style="49" customWidth="1"/>
    <col min="30" max="30" width="1" style="49" customWidth="1"/>
    <col min="31" max="31" width="66.42578125" style="49" customWidth="1"/>
    <col min="32" max="16384" width="9.140625" style="49"/>
  </cols>
  <sheetData>
    <row r="1" spans="1:31" x14ac:dyDescent="0.3">
      <c r="A1" s="1102" t="s">
        <v>49</v>
      </c>
      <c r="B1" s="497"/>
      <c r="C1" s="497"/>
      <c r="D1" s="497"/>
      <c r="E1" s="497"/>
      <c r="F1" s="497"/>
      <c r="G1" s="497"/>
      <c r="H1" s="497"/>
      <c r="I1" s="415"/>
      <c r="J1" s="496"/>
      <c r="K1" s="89"/>
      <c r="L1" s="416"/>
      <c r="M1" s="416"/>
      <c r="N1" s="416"/>
      <c r="O1" s="89"/>
      <c r="P1" s="120"/>
      <c r="Q1" s="415"/>
      <c r="R1" s="417"/>
      <c r="S1" s="429"/>
      <c r="T1" s="497"/>
      <c r="U1" s="120"/>
      <c r="V1" s="430"/>
      <c r="W1" s="430"/>
      <c r="X1" s="430"/>
      <c r="Y1" s="120"/>
      <c r="Z1" s="120"/>
      <c r="AA1" s="430"/>
      <c r="AB1" s="430"/>
      <c r="AC1" s="120"/>
      <c r="AD1" s="120"/>
      <c r="AE1" s="124"/>
    </row>
    <row r="2" spans="1:31" x14ac:dyDescent="0.3">
      <c r="A2" s="1112"/>
      <c r="B2" s="419"/>
      <c r="C2" s="419"/>
      <c r="D2" s="419"/>
      <c r="E2" s="498"/>
      <c r="F2" s="498"/>
      <c r="G2" s="419"/>
      <c r="H2" s="419"/>
      <c r="I2" s="418"/>
      <c r="J2" s="96"/>
      <c r="K2" s="97"/>
      <c r="L2" s="357"/>
      <c r="M2" s="357"/>
      <c r="N2" s="357"/>
      <c r="O2" s="97"/>
      <c r="P2" s="97"/>
      <c r="Q2" s="418"/>
      <c r="R2" s="419"/>
      <c r="S2" s="431"/>
      <c r="T2" s="498"/>
      <c r="U2" s="97"/>
      <c r="V2" s="432"/>
      <c r="W2" s="432"/>
      <c r="X2" s="432"/>
      <c r="Y2" s="134"/>
      <c r="Z2" s="97"/>
      <c r="AA2" s="432"/>
      <c r="AB2" s="432"/>
      <c r="AC2" s="134"/>
      <c r="AD2" s="97"/>
      <c r="AE2" s="129"/>
    </row>
    <row r="3" spans="1:31" s="52" customFormat="1" x14ac:dyDescent="0.3">
      <c r="A3" s="1103" t="s">
        <v>189</v>
      </c>
      <c r="B3" s="1104"/>
      <c r="C3" s="1104"/>
      <c r="D3" s="1104"/>
      <c r="E3" s="1104"/>
      <c r="F3" s="1104"/>
      <c r="G3" s="1104"/>
      <c r="H3" s="1104"/>
      <c r="I3" s="420"/>
      <c r="J3" s="499"/>
      <c r="K3" s="103"/>
      <c r="L3" s="421"/>
      <c r="M3" s="421"/>
      <c r="N3" s="421"/>
      <c r="O3" s="103"/>
      <c r="P3" s="130"/>
      <c r="Q3" s="420"/>
      <c r="R3" s="422"/>
      <c r="S3" s="428"/>
      <c r="T3" s="500"/>
      <c r="U3" s="130"/>
      <c r="V3" s="433"/>
      <c r="W3" s="433"/>
      <c r="X3" s="433"/>
      <c r="Y3" s="130"/>
      <c r="Z3" s="130"/>
      <c r="AA3" s="433"/>
      <c r="AB3" s="433"/>
      <c r="AC3" s="130"/>
      <c r="AD3" s="130"/>
      <c r="AE3" s="133"/>
    </row>
    <row r="4" spans="1:31" x14ac:dyDescent="0.3">
      <c r="A4" s="1105" t="s">
        <v>51</v>
      </c>
      <c r="B4" s="1106"/>
      <c r="C4" s="1106"/>
      <c r="D4" s="1106"/>
      <c r="E4" s="1106"/>
      <c r="F4" s="1106"/>
      <c r="G4" s="1106"/>
      <c r="H4" s="1106"/>
      <c r="I4" s="418"/>
      <c r="J4" s="501"/>
      <c r="K4" s="108"/>
      <c r="L4" s="423"/>
      <c r="M4" s="423"/>
      <c r="N4" s="423"/>
      <c r="O4" s="108"/>
      <c r="P4" s="134"/>
      <c r="Q4" s="424"/>
      <c r="R4" s="425"/>
      <c r="S4" s="431"/>
      <c r="T4" s="502"/>
      <c r="U4" s="134"/>
      <c r="V4" s="432"/>
      <c r="W4" s="432"/>
      <c r="X4" s="432"/>
      <c r="Y4" s="134"/>
      <c r="Z4" s="134"/>
      <c r="AA4" s="432"/>
      <c r="AB4" s="432"/>
      <c r="AC4" s="134"/>
      <c r="AD4" s="134"/>
      <c r="AE4" s="129"/>
    </row>
    <row r="5" spans="1:31" x14ac:dyDescent="0.3">
      <c r="A5" s="1105" t="s">
        <v>52</v>
      </c>
      <c r="B5" s="498"/>
      <c r="C5" s="498"/>
      <c r="D5" s="498"/>
      <c r="E5" s="498"/>
      <c r="F5" s="498"/>
      <c r="G5" s="498"/>
      <c r="H5" s="498"/>
      <c r="I5" s="418"/>
      <c r="J5" s="96"/>
      <c r="K5" s="108"/>
      <c r="L5" s="423"/>
      <c r="M5" s="423"/>
      <c r="N5" s="423"/>
      <c r="O5" s="108"/>
      <c r="P5" s="134"/>
      <c r="Q5" s="424"/>
      <c r="R5" s="425"/>
      <c r="S5" s="431"/>
      <c r="T5" s="502"/>
      <c r="U5" s="134"/>
      <c r="V5" s="432"/>
      <c r="W5" s="432"/>
      <c r="X5" s="432"/>
      <c r="Y5" s="134"/>
      <c r="Z5" s="134"/>
      <c r="AA5" s="432"/>
      <c r="AB5" s="432"/>
      <c r="AC5" s="134"/>
      <c r="AD5" s="134"/>
      <c r="AE5" s="129"/>
    </row>
    <row r="6" spans="1:31" s="52" customFormat="1" x14ac:dyDescent="0.3">
      <c r="A6" s="1103" t="s">
        <v>194</v>
      </c>
      <c r="B6" s="1108"/>
      <c r="C6" s="1108"/>
      <c r="D6" s="1108"/>
      <c r="E6" s="1108"/>
      <c r="F6" s="1108"/>
      <c r="G6" s="1108"/>
      <c r="H6" s="1108"/>
      <c r="I6" s="420"/>
      <c r="J6" s="499"/>
      <c r="K6" s="114"/>
      <c r="L6" s="426"/>
      <c r="M6" s="426"/>
      <c r="N6" s="426"/>
      <c r="O6" s="114"/>
      <c r="P6" s="130"/>
      <c r="Q6" s="427"/>
      <c r="R6" s="428"/>
      <c r="S6" s="428"/>
      <c r="T6" s="503"/>
      <c r="U6" s="130"/>
      <c r="V6" s="433"/>
      <c r="W6" s="433"/>
      <c r="X6" s="433"/>
      <c r="Y6" s="130"/>
      <c r="Z6" s="130"/>
      <c r="AA6" s="421"/>
      <c r="AB6" s="421"/>
      <c r="AC6" s="130"/>
      <c r="AD6" s="130"/>
      <c r="AE6" s="133"/>
    </row>
    <row r="7" spans="1:31" s="52" customFormat="1" x14ac:dyDescent="0.3">
      <c r="A7" s="1101" t="s">
        <v>2</v>
      </c>
      <c r="B7" s="500"/>
      <c r="C7" s="500"/>
      <c r="D7" s="500"/>
      <c r="E7" s="500"/>
      <c r="F7" s="500"/>
      <c r="G7" s="500"/>
      <c r="H7" s="500"/>
      <c r="I7" s="420"/>
      <c r="J7" s="504"/>
      <c r="K7" s="114"/>
      <c r="L7" s="426"/>
      <c r="M7" s="426"/>
      <c r="N7" s="426"/>
      <c r="O7" s="114"/>
      <c r="P7" s="130"/>
      <c r="Q7" s="427"/>
      <c r="R7" s="428"/>
      <c r="S7" s="428"/>
      <c r="T7" s="503"/>
      <c r="U7" s="130"/>
      <c r="V7" s="433"/>
      <c r="W7" s="433"/>
      <c r="X7" s="433"/>
      <c r="Y7" s="130"/>
      <c r="Z7" s="130"/>
      <c r="AA7" s="433"/>
      <c r="AB7" s="433"/>
      <c r="AC7" s="130"/>
      <c r="AD7" s="130"/>
      <c r="AE7" s="133"/>
    </row>
    <row r="8" spans="1:31" ht="19.5" thickBot="1" x14ac:dyDescent="0.35">
      <c r="A8" s="135" t="s">
        <v>173</v>
      </c>
      <c r="B8" s="1111"/>
      <c r="C8" s="1110"/>
      <c r="D8" s="1110"/>
      <c r="E8" s="1109"/>
      <c r="F8" s="1113"/>
      <c r="G8" s="1110"/>
      <c r="H8" s="1110"/>
      <c r="I8" s="432"/>
      <c r="J8" s="134"/>
      <c r="K8" s="138"/>
      <c r="L8" s="432"/>
      <c r="M8" s="432"/>
      <c r="N8" s="432"/>
      <c r="O8" s="134"/>
      <c r="P8" s="138"/>
      <c r="Q8" s="432"/>
      <c r="R8" s="432"/>
      <c r="S8" s="432"/>
      <c r="T8" s="134"/>
      <c r="U8" s="138"/>
      <c r="V8" s="432"/>
      <c r="W8" s="432"/>
      <c r="X8" s="432"/>
      <c r="Y8" s="134"/>
      <c r="Z8" s="138"/>
      <c r="AA8" s="432"/>
      <c r="AB8" s="432"/>
      <c r="AC8" s="134"/>
      <c r="AD8" s="138"/>
      <c r="AE8" s="139"/>
    </row>
    <row r="9" spans="1:31" x14ac:dyDescent="0.3">
      <c r="A9" s="140"/>
      <c r="B9" s="1454" t="s">
        <v>53</v>
      </c>
      <c r="C9" s="1448"/>
      <c r="D9" s="1448"/>
      <c r="E9" s="1449"/>
      <c r="F9" s="141"/>
      <c r="G9" s="1454" t="s">
        <v>54</v>
      </c>
      <c r="H9" s="1448"/>
      <c r="I9" s="1448"/>
      <c r="J9" s="1449"/>
      <c r="K9" s="141"/>
      <c r="L9" s="1455" t="s">
        <v>55</v>
      </c>
      <c r="M9" s="1456"/>
      <c r="N9" s="1456"/>
      <c r="O9" s="1457"/>
      <c r="P9" s="141"/>
      <c r="Q9" s="1454" t="s">
        <v>56</v>
      </c>
      <c r="R9" s="1448"/>
      <c r="S9" s="1448"/>
      <c r="T9" s="1449"/>
      <c r="U9" s="141"/>
      <c r="V9" s="1455" t="s">
        <v>57</v>
      </c>
      <c r="W9" s="1456"/>
      <c r="X9" s="1456"/>
      <c r="Y9" s="1457"/>
      <c r="Z9" s="141"/>
      <c r="AA9" s="1455" t="s">
        <v>196</v>
      </c>
      <c r="AB9" s="1456"/>
      <c r="AC9" s="1457"/>
      <c r="AD9" s="142"/>
      <c r="AE9" s="1439" t="s">
        <v>58</v>
      </c>
    </row>
    <row r="10" spans="1:31" ht="37.5" x14ac:dyDescent="0.3">
      <c r="A10" s="143" t="s">
        <v>59</v>
      </c>
      <c r="B10" s="436" t="s">
        <v>60</v>
      </c>
      <c r="C10" s="437" t="s">
        <v>61</v>
      </c>
      <c r="D10" s="1445" t="s">
        <v>62</v>
      </c>
      <c r="E10" s="1442"/>
      <c r="F10" s="145"/>
      <c r="G10" s="436" t="s">
        <v>60</v>
      </c>
      <c r="H10" s="437" t="s">
        <v>61</v>
      </c>
      <c r="I10" s="1445" t="s">
        <v>62</v>
      </c>
      <c r="J10" s="1442"/>
      <c r="K10" s="145"/>
      <c r="L10" s="436" t="s">
        <v>60</v>
      </c>
      <c r="M10" s="437" t="s">
        <v>61</v>
      </c>
      <c r="N10" s="1445" t="s">
        <v>62</v>
      </c>
      <c r="O10" s="1442"/>
      <c r="P10" s="145"/>
      <c r="Q10" s="436" t="s">
        <v>60</v>
      </c>
      <c r="R10" s="437" t="s">
        <v>61</v>
      </c>
      <c r="S10" s="1445" t="s">
        <v>62</v>
      </c>
      <c r="T10" s="1442"/>
      <c r="U10" s="145"/>
      <c r="V10" s="436" t="s">
        <v>60</v>
      </c>
      <c r="W10" s="437" t="s">
        <v>61</v>
      </c>
      <c r="X10" s="1445" t="s">
        <v>62</v>
      </c>
      <c r="Y10" s="1442"/>
      <c r="Z10" s="145"/>
      <c r="AA10" s="438" t="s">
        <v>63</v>
      </c>
      <c r="AB10" s="1445" t="s">
        <v>64</v>
      </c>
      <c r="AC10" s="1442"/>
      <c r="AD10" s="149"/>
      <c r="AE10" s="1440"/>
    </row>
    <row r="11" spans="1:31" ht="19.5" thickBot="1" x14ac:dyDescent="0.35">
      <c r="A11" s="551"/>
      <c r="B11" s="663" t="s">
        <v>107</v>
      </c>
      <c r="C11" s="629" t="s">
        <v>107</v>
      </c>
      <c r="D11" s="630" t="s">
        <v>107</v>
      </c>
      <c r="E11" s="509" t="s">
        <v>65</v>
      </c>
      <c r="F11" s="154"/>
      <c r="G11" s="656" t="s">
        <v>107</v>
      </c>
      <c r="H11" s="657" t="s">
        <v>107</v>
      </c>
      <c r="I11" s="658" t="s">
        <v>107</v>
      </c>
      <c r="J11" s="510" t="s">
        <v>65</v>
      </c>
      <c r="K11" s="154"/>
      <c r="L11" s="656" t="s">
        <v>107</v>
      </c>
      <c r="M11" s="657" t="s">
        <v>107</v>
      </c>
      <c r="N11" s="658" t="s">
        <v>107</v>
      </c>
      <c r="O11" s="510" t="s">
        <v>65</v>
      </c>
      <c r="P11" s="154"/>
      <c r="Q11" s="656" t="s">
        <v>107</v>
      </c>
      <c r="R11" s="657" t="s">
        <v>107</v>
      </c>
      <c r="S11" s="658" t="s">
        <v>107</v>
      </c>
      <c r="T11" s="510" t="s">
        <v>65</v>
      </c>
      <c r="U11" s="154"/>
      <c r="V11" s="656" t="s">
        <v>107</v>
      </c>
      <c r="W11" s="657" t="s">
        <v>107</v>
      </c>
      <c r="X11" s="658" t="s">
        <v>107</v>
      </c>
      <c r="Y11" s="510" t="s">
        <v>65</v>
      </c>
      <c r="Z11" s="154"/>
      <c r="AA11" s="656" t="s">
        <v>107</v>
      </c>
      <c r="AB11" s="658" t="s">
        <v>107</v>
      </c>
      <c r="AC11" s="510" t="s">
        <v>65</v>
      </c>
      <c r="AD11" s="162"/>
      <c r="AE11" s="1478"/>
    </row>
    <row r="12" spans="1:31" x14ac:dyDescent="0.3">
      <c r="A12" s="181"/>
      <c r="B12" s="1142"/>
      <c r="C12" s="1262"/>
      <c r="D12" s="1261"/>
      <c r="E12" s="222"/>
      <c r="F12" s="167"/>
      <c r="G12" s="1142"/>
      <c r="H12" s="1264"/>
      <c r="I12" s="1264"/>
      <c r="J12" s="1265"/>
      <c r="K12" s="167"/>
      <c r="L12" s="1142"/>
      <c r="M12" s="1265"/>
      <c r="N12" s="684"/>
      <c r="O12" s="1265"/>
      <c r="P12" s="167"/>
      <c r="Q12" s="1142"/>
      <c r="R12" s="1265"/>
      <c r="S12" s="451"/>
      <c r="T12" s="220"/>
      <c r="U12" s="167"/>
      <c r="V12" s="450"/>
      <c r="W12" s="451"/>
      <c r="X12" s="451"/>
      <c r="Y12" s="220"/>
      <c r="Z12" s="167"/>
      <c r="AA12" s="450"/>
      <c r="AB12" s="451"/>
      <c r="AC12" s="222"/>
      <c r="AD12" s="513"/>
      <c r="AE12" s="855"/>
    </row>
    <row r="13" spans="1:31" x14ac:dyDescent="0.3">
      <c r="A13" s="1263" t="s">
        <v>66</v>
      </c>
      <c r="B13" s="1142"/>
      <c r="C13" s="1166"/>
      <c r="D13" s="1260"/>
      <c r="E13" s="222"/>
      <c r="F13" s="175"/>
      <c r="G13" s="1142"/>
      <c r="H13" s="1166"/>
      <c r="I13" s="1166"/>
      <c r="J13" s="1260"/>
      <c r="K13" s="175"/>
      <c r="L13" s="1142"/>
      <c r="M13" s="1260"/>
      <c r="N13" s="684"/>
      <c r="O13" s="1260"/>
      <c r="P13" s="175"/>
      <c r="Q13" s="1142"/>
      <c r="R13" s="1260"/>
      <c r="S13" s="451"/>
      <c r="T13" s="220"/>
      <c r="U13" s="175"/>
      <c r="V13" s="450"/>
      <c r="W13" s="451"/>
      <c r="X13" s="451"/>
      <c r="Y13" s="220"/>
      <c r="Z13" s="175"/>
      <c r="AA13" s="450"/>
      <c r="AB13" s="451"/>
      <c r="AC13" s="222"/>
      <c r="AD13" s="175"/>
      <c r="AE13" s="850"/>
    </row>
    <row r="14" spans="1:31" x14ac:dyDescent="0.3">
      <c r="A14" s="181" t="s">
        <v>132</v>
      </c>
      <c r="B14" s="450">
        <v>0</v>
      </c>
      <c r="C14" s="451">
        <v>0</v>
      </c>
      <c r="D14" s="451">
        <f>C14-B14</f>
        <v>0</v>
      </c>
      <c r="E14" s="222" t="str">
        <f t="shared" ref="E14:E24" si="0">IF(ISERROR(D14/B14),"-",D14/B14)</f>
        <v>-</v>
      </c>
      <c r="F14" s="184"/>
      <c r="G14" s="1142">
        <v>0</v>
      </c>
      <c r="H14" s="1166">
        <v>0</v>
      </c>
      <c r="I14" s="1166">
        <v>0</v>
      </c>
      <c r="J14" s="222" t="str">
        <f t="shared" ref="J14:J24" si="1">IF(ISERROR(I14/G14),"-",I14/G14)</f>
        <v>-</v>
      </c>
      <c r="K14" s="184"/>
      <c r="L14" s="1142">
        <v>0</v>
      </c>
      <c r="M14" s="1260">
        <v>0</v>
      </c>
      <c r="N14" s="684">
        <f>M14-L14</f>
        <v>0</v>
      </c>
      <c r="O14" s="220" t="str">
        <f t="shared" ref="O14:O25" si="2">IF(ISERROR(N14/L14),"-",N14/L14)</f>
        <v>-</v>
      </c>
      <c r="P14" s="184"/>
      <c r="Q14" s="1142">
        <v>0</v>
      </c>
      <c r="R14" s="1260">
        <v>0</v>
      </c>
      <c r="S14" s="451">
        <f>R14-Q14</f>
        <v>0</v>
      </c>
      <c r="T14" s="220" t="str">
        <f t="shared" ref="T14:T29" si="3">IF(ISERROR(S14/Q14),"-",S14/Q14)</f>
        <v>-</v>
      </c>
      <c r="U14" s="184"/>
      <c r="V14" s="450">
        <f>B14+G14+L14+Q14</f>
        <v>0</v>
      </c>
      <c r="W14" s="451">
        <f>C14+H14+M14+R14</f>
        <v>0</v>
      </c>
      <c r="X14" s="451">
        <f>W14-V14</f>
        <v>0</v>
      </c>
      <c r="Y14" s="220" t="str">
        <f t="shared" ref="Y14:Y24" si="4">IF(ISERROR(X14/V14),"-",X14/V14)</f>
        <v>-</v>
      </c>
      <c r="Z14" s="184"/>
      <c r="AA14" s="450">
        <v>0</v>
      </c>
      <c r="AB14" s="451">
        <f>AA14-W14</f>
        <v>0</v>
      </c>
      <c r="AC14" s="222" t="str">
        <f t="shared" ref="AC14:AC25" si="5">IF(ISERROR(AB14/AA14),"-",AB14/AA14)</f>
        <v>-</v>
      </c>
      <c r="AD14" s="184"/>
      <c r="AE14" s="850"/>
    </row>
    <row r="15" spans="1:31" x14ac:dyDescent="0.3">
      <c r="A15" s="190" t="s">
        <v>111</v>
      </c>
      <c r="B15" s="450">
        <v>0</v>
      </c>
      <c r="C15" s="451">
        <v>0</v>
      </c>
      <c r="D15" s="451">
        <f t="shared" ref="D15:D23" si="6">C15-B15</f>
        <v>0</v>
      </c>
      <c r="E15" s="222" t="str">
        <f t="shared" si="0"/>
        <v>-</v>
      </c>
      <c r="F15" s="184"/>
      <c r="G15" s="450">
        <v>0</v>
      </c>
      <c r="H15" s="451">
        <v>0</v>
      </c>
      <c r="I15" s="451">
        <f t="shared" ref="I15:I23" si="7">H15-G15</f>
        <v>0</v>
      </c>
      <c r="J15" s="222" t="str">
        <f t="shared" si="1"/>
        <v>-</v>
      </c>
      <c r="K15" s="184"/>
      <c r="L15" s="1142">
        <v>0</v>
      </c>
      <c r="M15" s="1260">
        <v>0</v>
      </c>
      <c r="N15" s="451">
        <f t="shared" ref="N15:N22" si="8">M15-L15</f>
        <v>0</v>
      </c>
      <c r="O15" s="220" t="str">
        <f t="shared" si="2"/>
        <v>-</v>
      </c>
      <c r="P15" s="184"/>
      <c r="Q15" s="1142">
        <v>0</v>
      </c>
      <c r="R15" s="1260">
        <v>0</v>
      </c>
      <c r="S15" s="451">
        <f t="shared" ref="S15:S24" si="9">R15-Q15</f>
        <v>0</v>
      </c>
      <c r="T15" s="220" t="str">
        <f t="shared" si="3"/>
        <v>-</v>
      </c>
      <c r="U15" s="184"/>
      <c r="V15" s="450">
        <f t="shared" ref="V15:V24" si="10">B15+G15+L15+Q15</f>
        <v>0</v>
      </c>
      <c r="W15" s="451">
        <f t="shared" ref="W15:W24" si="11">C15+H15+M15+R15</f>
        <v>0</v>
      </c>
      <c r="X15" s="451">
        <f t="shared" ref="X15:X24" si="12">W15-V15</f>
        <v>0</v>
      </c>
      <c r="Y15" s="220" t="str">
        <f t="shared" si="4"/>
        <v>-</v>
      </c>
      <c r="Z15" s="184"/>
      <c r="AA15" s="450">
        <v>0</v>
      </c>
      <c r="AB15" s="451">
        <f t="shared" ref="AB15:AB24" si="13">AA15-W15</f>
        <v>0</v>
      </c>
      <c r="AC15" s="222" t="str">
        <f t="shared" si="5"/>
        <v>-</v>
      </c>
      <c r="AD15" s="184"/>
      <c r="AE15" s="850"/>
    </row>
    <row r="16" spans="1:31" x14ac:dyDescent="0.3">
      <c r="A16" s="190" t="s">
        <v>69</v>
      </c>
      <c r="B16" s="450">
        <v>189894.48866117478</v>
      </c>
      <c r="C16" s="451">
        <v>167106.38</v>
      </c>
      <c r="D16" s="451">
        <f t="shared" si="6"/>
        <v>-22788.108661174774</v>
      </c>
      <c r="E16" s="222">
        <f t="shared" si="0"/>
        <v>-0.12000405499832686</v>
      </c>
      <c r="F16" s="191"/>
      <c r="G16" s="450">
        <v>189894.48866117478</v>
      </c>
      <c r="H16" s="451">
        <v>162899.68</v>
      </c>
      <c r="I16" s="451">
        <f t="shared" si="7"/>
        <v>-26994.808661174786</v>
      </c>
      <c r="J16" s="222">
        <f t="shared" si="1"/>
        <v>-0.14215688328554454</v>
      </c>
      <c r="K16" s="191"/>
      <c r="L16" s="1142">
        <v>189894</v>
      </c>
      <c r="M16" s="1260">
        <v>155284</v>
      </c>
      <c r="N16" s="451">
        <f t="shared" si="8"/>
        <v>-34610</v>
      </c>
      <c r="O16" s="220">
        <f t="shared" si="2"/>
        <v>-0.18225957639525209</v>
      </c>
      <c r="P16" s="191"/>
      <c r="Q16" s="1142">
        <v>189894.48866117478</v>
      </c>
      <c r="R16" s="1260">
        <v>341646.44</v>
      </c>
      <c r="S16" s="451">
        <f t="shared" si="9"/>
        <v>151751.95133882522</v>
      </c>
      <c r="T16" s="220">
        <f t="shared" si="3"/>
        <v>0.79913826045574932</v>
      </c>
      <c r="U16" s="191"/>
      <c r="V16" s="450">
        <f t="shared" si="10"/>
        <v>759577.46598352434</v>
      </c>
      <c r="W16" s="451">
        <f>C16+H16+M16+R16</f>
        <v>826936.5</v>
      </c>
      <c r="X16" s="451">
        <f t="shared" si="12"/>
        <v>67359.034016475664</v>
      </c>
      <c r="Y16" s="220">
        <f t="shared" si="4"/>
        <v>8.8679610748137599E-2</v>
      </c>
      <c r="Z16" s="191"/>
      <c r="AA16" s="450">
        <v>759578</v>
      </c>
      <c r="AB16" s="451">
        <f>AA16-W16</f>
        <v>-67358.5</v>
      </c>
      <c r="AC16" s="222">
        <f>IF(ISERROR(AB16/AA16),"-",AB16/AA16)</f>
        <v>-8.8678845358870315E-2</v>
      </c>
      <c r="AD16" s="191"/>
      <c r="AE16" s="851"/>
    </row>
    <row r="17" spans="1:31" x14ac:dyDescent="0.3">
      <c r="A17" s="190" t="s">
        <v>68</v>
      </c>
      <c r="B17" s="450">
        <v>0</v>
      </c>
      <c r="C17" s="451">
        <v>0</v>
      </c>
      <c r="D17" s="451">
        <f t="shared" si="6"/>
        <v>0</v>
      </c>
      <c r="E17" s="222" t="str">
        <f t="shared" si="0"/>
        <v>-</v>
      </c>
      <c r="F17" s="184"/>
      <c r="G17" s="450">
        <v>0</v>
      </c>
      <c r="H17" s="451">
        <v>0</v>
      </c>
      <c r="I17" s="451">
        <f t="shared" si="7"/>
        <v>0</v>
      </c>
      <c r="J17" s="222" t="str">
        <f t="shared" si="1"/>
        <v>-</v>
      </c>
      <c r="K17" s="184"/>
      <c r="L17" s="1142">
        <v>0</v>
      </c>
      <c r="M17" s="1260">
        <v>0</v>
      </c>
      <c r="N17" s="451">
        <f t="shared" si="8"/>
        <v>0</v>
      </c>
      <c r="O17" s="220" t="str">
        <f t="shared" si="2"/>
        <v>-</v>
      </c>
      <c r="P17" s="184"/>
      <c r="Q17" s="1142">
        <v>0</v>
      </c>
      <c r="R17" s="1260">
        <v>0</v>
      </c>
      <c r="S17" s="451">
        <f t="shared" si="9"/>
        <v>0</v>
      </c>
      <c r="T17" s="220" t="str">
        <f t="shared" si="3"/>
        <v>-</v>
      </c>
      <c r="U17" s="184"/>
      <c r="V17" s="450">
        <f t="shared" si="10"/>
        <v>0</v>
      </c>
      <c r="W17" s="451">
        <f t="shared" si="11"/>
        <v>0</v>
      </c>
      <c r="X17" s="451">
        <f t="shared" si="12"/>
        <v>0</v>
      </c>
      <c r="Y17" s="220" t="str">
        <f t="shared" si="4"/>
        <v>-</v>
      </c>
      <c r="Z17" s="184"/>
      <c r="AA17" s="450">
        <v>0</v>
      </c>
      <c r="AB17" s="451">
        <f t="shared" si="13"/>
        <v>0</v>
      </c>
      <c r="AC17" s="222" t="str">
        <f t="shared" si="5"/>
        <v>-</v>
      </c>
      <c r="AD17" s="184"/>
      <c r="AE17" s="850"/>
    </row>
    <row r="18" spans="1:31" x14ac:dyDescent="0.3">
      <c r="A18" s="190" t="s">
        <v>71</v>
      </c>
      <c r="B18" s="450">
        <v>10475</v>
      </c>
      <c r="C18" s="451">
        <v>8319.2899999999936</v>
      </c>
      <c r="D18" s="451">
        <f t="shared" si="6"/>
        <v>-2155.7100000000064</v>
      </c>
      <c r="E18" s="222">
        <f t="shared" si="0"/>
        <v>-0.20579570405727984</v>
      </c>
      <c r="F18" s="184"/>
      <c r="G18" s="450">
        <v>10475</v>
      </c>
      <c r="H18" s="451">
        <v>9676.5200000000041</v>
      </c>
      <c r="I18" s="451">
        <f t="shared" si="7"/>
        <v>-798.47999999999593</v>
      </c>
      <c r="J18" s="222">
        <f t="shared" si="1"/>
        <v>-7.622720763723112E-2</v>
      </c>
      <c r="K18" s="184"/>
      <c r="L18" s="1142">
        <v>10475</v>
      </c>
      <c r="M18" s="1260">
        <v>8744</v>
      </c>
      <c r="N18" s="451">
        <f t="shared" si="8"/>
        <v>-1731</v>
      </c>
      <c r="O18" s="222">
        <f t="shared" si="2"/>
        <v>-0.16525059665871122</v>
      </c>
      <c r="P18" s="184"/>
      <c r="Q18" s="1142">
        <v>10475</v>
      </c>
      <c r="R18" s="1260">
        <v>15087.739999999991</v>
      </c>
      <c r="S18" s="451">
        <f t="shared" si="9"/>
        <v>4612.7399999999907</v>
      </c>
      <c r="T18" s="222">
        <f t="shared" si="3"/>
        <v>0.44035704057279146</v>
      </c>
      <c r="U18" s="184"/>
      <c r="V18" s="450">
        <f t="shared" si="10"/>
        <v>41900</v>
      </c>
      <c r="W18" s="451">
        <f t="shared" si="11"/>
        <v>41827.549999999988</v>
      </c>
      <c r="X18" s="451">
        <f t="shared" si="12"/>
        <v>-72.450000000011642</v>
      </c>
      <c r="Y18" s="294">
        <f t="shared" si="4"/>
        <v>-1.7291169451076763E-3</v>
      </c>
      <c r="Z18" s="184"/>
      <c r="AA18" s="450">
        <v>41900</v>
      </c>
      <c r="AB18" s="451">
        <f t="shared" si="13"/>
        <v>72.450000000011642</v>
      </c>
      <c r="AC18" s="222">
        <f t="shared" si="5"/>
        <v>1.7291169451076763E-3</v>
      </c>
      <c r="AD18" s="184"/>
      <c r="AE18" s="850"/>
    </row>
    <row r="19" spans="1:31" x14ac:dyDescent="0.3">
      <c r="A19" s="523" t="s">
        <v>202</v>
      </c>
      <c r="B19" s="450">
        <v>0</v>
      </c>
      <c r="C19" s="451">
        <v>0</v>
      </c>
      <c r="D19" s="451">
        <f t="shared" si="6"/>
        <v>0</v>
      </c>
      <c r="E19" s="222" t="str">
        <f t="shared" si="0"/>
        <v>-</v>
      </c>
      <c r="F19" s="184"/>
      <c r="G19" s="450">
        <v>0</v>
      </c>
      <c r="H19" s="451">
        <v>0</v>
      </c>
      <c r="I19" s="451">
        <f t="shared" si="7"/>
        <v>0</v>
      </c>
      <c r="J19" s="222" t="str">
        <f t="shared" si="1"/>
        <v>-</v>
      </c>
      <c r="K19" s="184"/>
      <c r="L19" s="1142">
        <v>0</v>
      </c>
      <c r="M19" s="1260">
        <v>0</v>
      </c>
      <c r="N19" s="451">
        <f t="shared" si="8"/>
        <v>0</v>
      </c>
      <c r="O19" s="294" t="str">
        <f t="shared" si="2"/>
        <v>-</v>
      </c>
      <c r="P19" s="184"/>
      <c r="Q19" s="1142">
        <v>0</v>
      </c>
      <c r="R19" s="1260">
        <v>0</v>
      </c>
      <c r="S19" s="451">
        <f t="shared" si="9"/>
        <v>0</v>
      </c>
      <c r="T19" s="294" t="str">
        <f t="shared" si="3"/>
        <v>-</v>
      </c>
      <c r="U19" s="184"/>
      <c r="V19" s="450">
        <f t="shared" si="10"/>
        <v>0</v>
      </c>
      <c r="W19" s="451">
        <f t="shared" si="11"/>
        <v>0</v>
      </c>
      <c r="X19" s="451">
        <f t="shared" si="12"/>
        <v>0</v>
      </c>
      <c r="Y19" s="294" t="str">
        <f t="shared" si="4"/>
        <v>-</v>
      </c>
      <c r="Z19" s="184"/>
      <c r="AA19" s="450">
        <v>0</v>
      </c>
      <c r="AB19" s="451">
        <f t="shared" si="13"/>
        <v>0</v>
      </c>
      <c r="AC19" s="222" t="str">
        <f t="shared" si="5"/>
        <v>-</v>
      </c>
      <c r="AD19" s="184"/>
      <c r="AE19" s="850"/>
    </row>
    <row r="20" spans="1:31" x14ac:dyDescent="0.3">
      <c r="A20" s="194" t="s">
        <v>67</v>
      </c>
      <c r="B20" s="450">
        <v>0</v>
      </c>
      <c r="C20" s="451">
        <v>0</v>
      </c>
      <c r="D20" s="451">
        <f t="shared" si="6"/>
        <v>0</v>
      </c>
      <c r="E20" s="222" t="str">
        <f t="shared" si="0"/>
        <v>-</v>
      </c>
      <c r="F20" s="184"/>
      <c r="G20" s="450">
        <v>0</v>
      </c>
      <c r="H20" s="451">
        <v>0</v>
      </c>
      <c r="I20" s="451">
        <f t="shared" si="7"/>
        <v>0</v>
      </c>
      <c r="J20" s="222" t="str">
        <f t="shared" si="1"/>
        <v>-</v>
      </c>
      <c r="K20" s="184"/>
      <c r="L20" s="1142">
        <v>0</v>
      </c>
      <c r="M20" s="1260">
        <v>0</v>
      </c>
      <c r="N20" s="451">
        <f t="shared" si="8"/>
        <v>0</v>
      </c>
      <c r="O20" s="294" t="str">
        <f t="shared" si="2"/>
        <v>-</v>
      </c>
      <c r="P20" s="184"/>
      <c r="Q20" s="1142">
        <v>0</v>
      </c>
      <c r="R20" s="1260">
        <v>0</v>
      </c>
      <c r="S20" s="451">
        <f t="shared" si="9"/>
        <v>0</v>
      </c>
      <c r="T20" s="294" t="str">
        <f t="shared" si="3"/>
        <v>-</v>
      </c>
      <c r="U20" s="184"/>
      <c r="V20" s="450">
        <f t="shared" si="10"/>
        <v>0</v>
      </c>
      <c r="W20" s="451">
        <f t="shared" si="11"/>
        <v>0</v>
      </c>
      <c r="X20" s="451">
        <f t="shared" si="12"/>
        <v>0</v>
      </c>
      <c r="Y20" s="294" t="str">
        <f t="shared" si="4"/>
        <v>-</v>
      </c>
      <c r="Z20" s="184"/>
      <c r="AA20" s="450">
        <v>0</v>
      </c>
      <c r="AB20" s="451">
        <f t="shared" si="13"/>
        <v>0</v>
      </c>
      <c r="AC20" s="222" t="str">
        <f t="shared" si="5"/>
        <v>-</v>
      </c>
      <c r="AD20" s="184"/>
      <c r="AE20" s="850"/>
    </row>
    <row r="21" spans="1:31" x14ac:dyDescent="0.3">
      <c r="A21" s="181" t="s">
        <v>112</v>
      </c>
      <c r="B21" s="450">
        <v>0</v>
      </c>
      <c r="C21" s="451">
        <v>0</v>
      </c>
      <c r="D21" s="451">
        <f t="shared" si="6"/>
        <v>0</v>
      </c>
      <c r="E21" s="222" t="str">
        <f t="shared" si="0"/>
        <v>-</v>
      </c>
      <c r="F21" s="184"/>
      <c r="G21" s="450">
        <v>0</v>
      </c>
      <c r="H21" s="451">
        <v>0</v>
      </c>
      <c r="I21" s="451">
        <f t="shared" si="7"/>
        <v>0</v>
      </c>
      <c r="J21" s="222" t="str">
        <f t="shared" si="1"/>
        <v>-</v>
      </c>
      <c r="K21" s="184"/>
      <c r="L21" s="1142">
        <v>0</v>
      </c>
      <c r="M21" s="1260">
        <v>0</v>
      </c>
      <c r="N21" s="451">
        <f t="shared" si="8"/>
        <v>0</v>
      </c>
      <c r="O21" s="294" t="str">
        <f t="shared" si="2"/>
        <v>-</v>
      </c>
      <c r="P21" s="184"/>
      <c r="Q21" s="1142">
        <v>0</v>
      </c>
      <c r="R21" s="1260">
        <v>0</v>
      </c>
      <c r="S21" s="451">
        <f t="shared" si="9"/>
        <v>0</v>
      </c>
      <c r="T21" s="294" t="str">
        <f t="shared" si="3"/>
        <v>-</v>
      </c>
      <c r="U21" s="184"/>
      <c r="V21" s="450">
        <f t="shared" si="10"/>
        <v>0</v>
      </c>
      <c r="W21" s="451">
        <f t="shared" si="11"/>
        <v>0</v>
      </c>
      <c r="X21" s="451">
        <f t="shared" si="12"/>
        <v>0</v>
      </c>
      <c r="Y21" s="294" t="str">
        <f t="shared" si="4"/>
        <v>-</v>
      </c>
      <c r="Z21" s="184"/>
      <c r="AA21" s="450">
        <v>0</v>
      </c>
      <c r="AB21" s="451">
        <f t="shared" si="13"/>
        <v>0</v>
      </c>
      <c r="AC21" s="222" t="str">
        <f t="shared" si="5"/>
        <v>-</v>
      </c>
      <c r="AD21" s="184"/>
      <c r="AE21" s="850"/>
    </row>
    <row r="22" spans="1:31" x14ac:dyDescent="0.3">
      <c r="A22" s="190" t="s">
        <v>70</v>
      </c>
      <c r="B22" s="450">
        <v>0</v>
      </c>
      <c r="C22" s="451">
        <v>0</v>
      </c>
      <c r="D22" s="451">
        <f t="shared" si="6"/>
        <v>0</v>
      </c>
      <c r="E22" s="222" t="str">
        <f t="shared" si="0"/>
        <v>-</v>
      </c>
      <c r="F22" s="184"/>
      <c r="G22" s="450">
        <v>0</v>
      </c>
      <c r="H22" s="451">
        <v>0</v>
      </c>
      <c r="I22" s="451">
        <f t="shared" si="7"/>
        <v>0</v>
      </c>
      <c r="J22" s="222" t="str">
        <f t="shared" si="1"/>
        <v>-</v>
      </c>
      <c r="K22" s="184"/>
      <c r="L22" s="1142">
        <v>0</v>
      </c>
      <c r="M22" s="1260">
        <v>0</v>
      </c>
      <c r="N22" s="451">
        <f t="shared" si="8"/>
        <v>0</v>
      </c>
      <c r="O22" s="220" t="str">
        <f t="shared" si="2"/>
        <v>-</v>
      </c>
      <c r="P22" s="184"/>
      <c r="Q22" s="1142">
        <v>0</v>
      </c>
      <c r="R22" s="1260">
        <v>0</v>
      </c>
      <c r="S22" s="451">
        <f t="shared" si="9"/>
        <v>0</v>
      </c>
      <c r="T22" s="220" t="str">
        <f t="shared" si="3"/>
        <v>-</v>
      </c>
      <c r="U22" s="184"/>
      <c r="V22" s="450">
        <f t="shared" si="10"/>
        <v>0</v>
      </c>
      <c r="W22" s="451">
        <f t="shared" si="11"/>
        <v>0</v>
      </c>
      <c r="X22" s="451">
        <f t="shared" si="12"/>
        <v>0</v>
      </c>
      <c r="Y22" s="220" t="str">
        <f t="shared" si="4"/>
        <v>-</v>
      </c>
      <c r="Z22" s="184"/>
      <c r="AA22" s="450">
        <v>0</v>
      </c>
      <c r="AB22" s="451">
        <f t="shared" si="13"/>
        <v>0</v>
      </c>
      <c r="AC22" s="222" t="str">
        <f t="shared" si="5"/>
        <v>-</v>
      </c>
      <c r="AD22" s="184"/>
      <c r="AE22" s="851"/>
    </row>
    <row r="23" spans="1:31" x14ac:dyDescent="0.3">
      <c r="A23" s="190" t="s">
        <v>72</v>
      </c>
      <c r="B23" s="450">
        <v>0</v>
      </c>
      <c r="C23" s="451">
        <v>0</v>
      </c>
      <c r="D23" s="451">
        <f t="shared" si="6"/>
        <v>0</v>
      </c>
      <c r="E23" s="222" t="str">
        <f t="shared" si="0"/>
        <v>-</v>
      </c>
      <c r="F23" s="184"/>
      <c r="G23" s="450">
        <v>0</v>
      </c>
      <c r="H23" s="451">
        <v>0</v>
      </c>
      <c r="I23" s="451">
        <f t="shared" si="7"/>
        <v>0</v>
      </c>
      <c r="J23" s="222" t="str">
        <f t="shared" si="1"/>
        <v>-</v>
      </c>
      <c r="K23" s="184"/>
      <c r="L23" s="1142">
        <v>0</v>
      </c>
      <c r="M23" s="1266">
        <v>0</v>
      </c>
      <c r="N23" s="451">
        <f>M24-L24</f>
        <v>102533</v>
      </c>
      <c r="O23" s="222">
        <f>IF(ISERROR(N23/L24),"-",N23/L24)</f>
        <v>5.2636793649066135E-2</v>
      </c>
      <c r="P23" s="184"/>
      <c r="Q23" s="414">
        <v>0</v>
      </c>
      <c r="R23" s="1266">
        <v>0</v>
      </c>
      <c r="S23" s="451">
        <f t="shared" si="9"/>
        <v>0</v>
      </c>
      <c r="T23" s="222">
        <f>IF(ISERROR(S23/Q24),"-",S23/Q24)</f>
        <v>0</v>
      </c>
      <c r="U23" s="184"/>
      <c r="V23" s="450">
        <f>B23+G23+L23+Q23</f>
        <v>0</v>
      </c>
      <c r="W23" s="451">
        <f t="shared" si="11"/>
        <v>0</v>
      </c>
      <c r="X23" s="451">
        <f t="shared" si="12"/>
        <v>0</v>
      </c>
      <c r="Y23" s="222" t="str">
        <f t="shared" si="4"/>
        <v>-</v>
      </c>
      <c r="Z23" s="184"/>
      <c r="AA23" s="450">
        <v>0</v>
      </c>
      <c r="AB23" s="451">
        <f>AA23-W23</f>
        <v>0</v>
      </c>
      <c r="AC23" s="222" t="str">
        <f t="shared" si="5"/>
        <v>-</v>
      </c>
      <c r="AD23" s="184"/>
      <c r="AE23" s="850"/>
    </row>
    <row r="24" spans="1:31" x14ac:dyDescent="0.3">
      <c r="A24" s="190" t="s">
        <v>131</v>
      </c>
      <c r="B24" s="450">
        <v>1947934.0753065846</v>
      </c>
      <c r="C24" s="451">
        <v>2006433.57</v>
      </c>
      <c r="D24" s="451">
        <f>C24-B24</f>
        <v>58499.494693415472</v>
      </c>
      <c r="E24" s="222">
        <f t="shared" si="0"/>
        <v>3.0031557759062386E-2</v>
      </c>
      <c r="F24" s="184"/>
      <c r="G24" s="450">
        <v>1947934.0753065846</v>
      </c>
      <c r="H24" s="451">
        <v>2024236.02</v>
      </c>
      <c r="I24" s="451">
        <f>H24-G24</f>
        <v>76301.944693415426</v>
      </c>
      <c r="J24" s="222">
        <f t="shared" si="1"/>
        <v>3.9170701750471867E-2</v>
      </c>
      <c r="K24" s="184"/>
      <c r="L24" s="1142">
        <v>1947934</v>
      </c>
      <c r="M24" s="1267">
        <v>2050467</v>
      </c>
      <c r="N24" s="451">
        <f>L24-M24</f>
        <v>-102533</v>
      </c>
      <c r="O24" s="222">
        <f>IF(ISERROR(N24/L25),"-",N24/L25)</f>
        <v>-4.7727438820315382E-2</v>
      </c>
      <c r="P24" s="184"/>
      <c r="Q24" s="1142">
        <v>1947934.0753065846</v>
      </c>
      <c r="R24" s="1267">
        <v>2032942.91</v>
      </c>
      <c r="S24" s="451">
        <f t="shared" si="9"/>
        <v>85008.834693415323</v>
      </c>
      <c r="T24" s="222">
        <f>IF(ISERROR(S24/Q25),"-",S24/Q25)</f>
        <v>3.9570215363982468E-2</v>
      </c>
      <c r="U24" s="184"/>
      <c r="V24" s="450">
        <f t="shared" si="10"/>
        <v>7791736.2259197533</v>
      </c>
      <c r="W24" s="451">
        <f t="shared" si="11"/>
        <v>8114079.5</v>
      </c>
      <c r="X24" s="451">
        <f t="shared" si="12"/>
        <v>322343.27408024669</v>
      </c>
      <c r="Y24" s="222">
        <f t="shared" si="4"/>
        <v>4.1369890449826745E-2</v>
      </c>
      <c r="Z24" s="184"/>
      <c r="AA24" s="450">
        <v>7791736</v>
      </c>
      <c r="AB24" s="451">
        <f t="shared" si="13"/>
        <v>-322343.5</v>
      </c>
      <c r="AC24" s="222"/>
      <c r="AD24" s="203"/>
      <c r="AE24" s="852"/>
    </row>
    <row r="25" spans="1:31" x14ac:dyDescent="0.3">
      <c r="A25" s="199" t="s">
        <v>73</v>
      </c>
      <c r="B25" s="469">
        <f>SUM(B14:B24)</f>
        <v>2148303.5639677593</v>
      </c>
      <c r="C25" s="470">
        <f>SUM(C14:C24)</f>
        <v>2181859.2400000002</v>
      </c>
      <c r="D25" s="470">
        <f>SUM(D14:D24)</f>
        <v>33555.676032240692</v>
      </c>
      <c r="E25" s="237">
        <f>IF(ISERROR(D25/B25),"-",D25/B25)</f>
        <v>1.5619615679576409E-2</v>
      </c>
      <c r="F25" s="203"/>
      <c r="G25" s="469">
        <f>SUM(G14:G24)</f>
        <v>2148303.5639677593</v>
      </c>
      <c r="H25" s="470">
        <f>SUM(H14:H24)</f>
        <v>2196812.2200000002</v>
      </c>
      <c r="I25" s="470">
        <f>SUM(I14:I24)</f>
        <v>48508.656032240644</v>
      </c>
      <c r="J25" s="237">
        <f>IF(ISERROR(I25/G25),"-",I25/G25)</f>
        <v>2.2579982105810369E-2</v>
      </c>
      <c r="K25" s="203"/>
      <c r="L25" s="469">
        <f>SUM(L14:L24)</f>
        <v>2148303</v>
      </c>
      <c r="M25" s="470">
        <f>SUM(M14:M24)</f>
        <v>2214495</v>
      </c>
      <c r="N25" s="470">
        <f>SUM(N14:N23)</f>
        <v>66192</v>
      </c>
      <c r="O25" s="237">
        <f t="shared" si="2"/>
        <v>3.0811296171908711E-2</v>
      </c>
      <c r="P25" s="203"/>
      <c r="Q25" s="469">
        <f>SUM(Q14:Q24)</f>
        <v>2148303.5639677593</v>
      </c>
      <c r="R25" s="470">
        <f>SUM(R14:R24)</f>
        <v>2389677.09</v>
      </c>
      <c r="S25" s="470">
        <f>SUM(S14:S24)</f>
        <v>241373.52603224054</v>
      </c>
      <c r="T25" s="527">
        <f>IF(ISERROR(S25/Q25),"-",S25/Q25)</f>
        <v>0.11235540920783156</v>
      </c>
      <c r="U25" s="203"/>
      <c r="V25" s="469">
        <f>SUM(V14:V24)</f>
        <v>8593213.6919032782</v>
      </c>
      <c r="W25" s="470">
        <f>SUM(W14:W24)</f>
        <v>8982843.5500000007</v>
      </c>
      <c r="X25" s="470">
        <f>SUM(X14:X24)</f>
        <v>389629.85809672234</v>
      </c>
      <c r="Y25" s="527">
        <f>IF(ISERROR(X25/V25),"-",X25/V25)</f>
        <v>4.5341576744895855E-2</v>
      </c>
      <c r="Z25" s="203"/>
      <c r="AA25" s="471">
        <f>SUM(AA14:AA24)</f>
        <v>8593214</v>
      </c>
      <c r="AB25" s="472">
        <f>SUM(AB14:AB24)</f>
        <v>-389629.55</v>
      </c>
      <c r="AC25" s="528">
        <f t="shared" si="5"/>
        <v>-4.5341539265750859E-2</v>
      </c>
      <c r="AD25" s="184"/>
      <c r="AE25" s="850"/>
    </row>
    <row r="26" spans="1:31" x14ac:dyDescent="0.3">
      <c r="A26" s="210"/>
      <c r="B26" s="459"/>
      <c r="C26" s="460"/>
      <c r="D26" s="460"/>
      <c r="E26" s="532"/>
      <c r="F26" s="184"/>
      <c r="G26" s="461"/>
      <c r="H26" s="462"/>
      <c r="I26" s="462"/>
      <c r="J26" s="216"/>
      <c r="K26" s="184"/>
      <c r="L26" s="459"/>
      <c r="M26" s="460"/>
      <c r="N26" s="460"/>
      <c r="O26" s="532"/>
      <c r="P26" s="184"/>
      <c r="Q26" s="461"/>
      <c r="R26" s="462"/>
      <c r="S26" s="462"/>
      <c r="T26" s="533" t="str">
        <f t="shared" si="3"/>
        <v>-</v>
      </c>
      <c r="U26" s="184"/>
      <c r="V26" s="459"/>
      <c r="W26" s="460"/>
      <c r="X26" s="460"/>
      <c r="Y26" s="532"/>
      <c r="Z26" s="184"/>
      <c r="AA26" s="459"/>
      <c r="AB26" s="460"/>
      <c r="AC26" s="532"/>
      <c r="AD26" s="184"/>
      <c r="AE26" s="850"/>
    </row>
    <row r="27" spans="1:31" x14ac:dyDescent="0.3">
      <c r="A27" s="172" t="s">
        <v>74</v>
      </c>
      <c r="B27" s="450"/>
      <c r="C27" s="451"/>
      <c r="D27" s="451">
        <f>C27-B27</f>
        <v>0</v>
      </c>
      <c r="E27" s="294" t="str">
        <f>IF(ISERROR(D27/B27),"-",D27/B27)</f>
        <v>-</v>
      </c>
      <c r="F27" s="184"/>
      <c r="G27" s="463">
        <v>0</v>
      </c>
      <c r="H27" s="464">
        <v>0</v>
      </c>
      <c r="I27" s="451">
        <f>H27-G27</f>
        <v>0</v>
      </c>
      <c r="J27" s="295" t="str">
        <f>IF(ISERROR(I27/G27),"-",I27/G27)</f>
        <v>-</v>
      </c>
      <c r="K27" s="184"/>
      <c r="L27" s="450">
        <v>0</v>
      </c>
      <c r="M27" s="451">
        <v>0</v>
      </c>
      <c r="N27" s="451">
        <f>M27-L27</f>
        <v>0</v>
      </c>
      <c r="O27" s="294" t="str">
        <f>IF(ISERROR(N27/L27),"-",N27/L27)</f>
        <v>-</v>
      </c>
      <c r="P27" s="184"/>
      <c r="Q27" s="463">
        <v>0</v>
      </c>
      <c r="R27" s="464">
        <v>0</v>
      </c>
      <c r="S27" s="451">
        <f>R27-Q27</f>
        <v>0</v>
      </c>
      <c r="T27" s="295" t="str">
        <f t="shared" si="3"/>
        <v>-</v>
      </c>
      <c r="U27" s="184"/>
      <c r="V27" s="450">
        <f>B27+G27+L27+Q27</f>
        <v>0</v>
      </c>
      <c r="W27" s="451"/>
      <c r="X27" s="451">
        <f>W27-V27</f>
        <v>0</v>
      </c>
      <c r="Y27" s="535"/>
      <c r="Z27" s="184"/>
      <c r="AA27" s="450"/>
      <c r="AB27" s="451"/>
      <c r="AC27" s="535"/>
      <c r="AD27" s="175"/>
      <c r="AE27" s="850"/>
    </row>
    <row r="28" spans="1:31" x14ac:dyDescent="0.3">
      <c r="A28" s="226"/>
      <c r="B28" s="465"/>
      <c r="C28" s="466"/>
      <c r="D28" s="466"/>
      <c r="E28" s="537"/>
      <c r="F28" s="175"/>
      <c r="G28" s="467"/>
      <c r="H28" s="468"/>
      <c r="I28" s="468"/>
      <c r="J28" s="232"/>
      <c r="K28" s="175"/>
      <c r="L28" s="465"/>
      <c r="M28" s="466"/>
      <c r="N28" s="466"/>
      <c r="O28" s="537"/>
      <c r="P28" s="175"/>
      <c r="Q28" s="467"/>
      <c r="R28" s="468"/>
      <c r="S28" s="468"/>
      <c r="T28" s="538" t="str">
        <f t="shared" si="3"/>
        <v>-</v>
      </c>
      <c r="U28" s="175"/>
      <c r="V28" s="465"/>
      <c r="W28" s="466"/>
      <c r="X28" s="466"/>
      <c r="Y28" s="537"/>
      <c r="Z28" s="175"/>
      <c r="AA28" s="465"/>
      <c r="AB28" s="466"/>
      <c r="AC28" s="537"/>
      <c r="AD28" s="203"/>
      <c r="AE28" s="852"/>
    </row>
    <row r="29" spans="1:31" x14ac:dyDescent="0.3">
      <c r="A29" s="199" t="s">
        <v>75</v>
      </c>
      <c r="B29" s="469">
        <f>B25+B27</f>
        <v>2148303.5639677593</v>
      </c>
      <c r="C29" s="470">
        <f>C25+C27</f>
        <v>2181859.2400000002</v>
      </c>
      <c r="D29" s="470">
        <f>D25+D27</f>
        <v>33555.676032240692</v>
      </c>
      <c r="E29" s="237">
        <f>IF(ISERROR(D29/B29),"-",D29/B29)</f>
        <v>1.5619615679576409E-2</v>
      </c>
      <c r="F29" s="203"/>
      <c r="G29" s="469">
        <f>G25+G27</f>
        <v>2148303.5639677593</v>
      </c>
      <c r="H29" s="470">
        <f>H25+H27</f>
        <v>2196812.2200000002</v>
      </c>
      <c r="I29" s="470">
        <f>I25+I27</f>
        <v>48508.656032240644</v>
      </c>
      <c r="J29" s="237">
        <f>IF(ISERROR(I29/G29),"-",I29/G29)</f>
        <v>2.2579982105810369E-2</v>
      </c>
      <c r="K29" s="203"/>
      <c r="L29" s="469">
        <f>L25+L27</f>
        <v>2148303</v>
      </c>
      <c r="M29" s="470">
        <f>M25+M27</f>
        <v>2214495</v>
      </c>
      <c r="N29" s="470">
        <f>N25+N27</f>
        <v>66192</v>
      </c>
      <c r="O29" s="237">
        <f>IF(ISERROR(N29/L29),"-",N29/L29)</f>
        <v>3.0811296171908711E-2</v>
      </c>
      <c r="P29" s="203"/>
      <c r="Q29" s="469">
        <f>Q25+Q27</f>
        <v>2148303.5639677593</v>
      </c>
      <c r="R29" s="470">
        <f>R25+R27</f>
        <v>2389677.09</v>
      </c>
      <c r="S29" s="470">
        <f>S25+S27</f>
        <v>241373.52603224054</v>
      </c>
      <c r="T29" s="237">
        <f t="shared" si="3"/>
        <v>0.11235540920783156</v>
      </c>
      <c r="U29" s="203"/>
      <c r="V29" s="469">
        <f>V25+V27</f>
        <v>8593213.6919032782</v>
      </c>
      <c r="W29" s="470">
        <f>W25+W27</f>
        <v>8982843.5500000007</v>
      </c>
      <c r="X29" s="470">
        <f>X25+X27</f>
        <v>389629.85809672234</v>
      </c>
      <c r="Y29" s="237">
        <f>IF(ISERROR(X29/V29),"-",X29/V29)</f>
        <v>4.5341576744895855E-2</v>
      </c>
      <c r="Z29" s="203"/>
      <c r="AA29" s="471">
        <f>AA25+AA27</f>
        <v>8593214</v>
      </c>
      <c r="AB29" s="472">
        <f>AA29-W29</f>
        <v>-389629.55000000075</v>
      </c>
      <c r="AC29" s="528">
        <f>IF(ISERROR(AB29/AA29),"-",AB29/AA29)</f>
        <v>-4.5341539265750942E-2</v>
      </c>
      <c r="AD29" s="175"/>
      <c r="AE29" s="850"/>
    </row>
    <row r="30" spans="1:31" x14ac:dyDescent="0.3">
      <c r="A30" s="242"/>
      <c r="B30" s="473"/>
      <c r="C30" s="474"/>
      <c r="D30" s="474"/>
      <c r="E30" s="517"/>
      <c r="F30" s="175"/>
      <c r="G30" s="475"/>
      <c r="H30" s="476"/>
      <c r="I30" s="476"/>
      <c r="J30" s="540"/>
      <c r="K30" s="175"/>
      <c r="L30" s="473"/>
      <c r="M30" s="474"/>
      <c r="N30" s="474"/>
      <c r="O30" s="517"/>
      <c r="P30" s="175"/>
      <c r="Q30" s="475"/>
      <c r="R30" s="476"/>
      <c r="S30" s="476"/>
      <c r="T30" s="540"/>
      <c r="U30" s="175"/>
      <c r="V30" s="459"/>
      <c r="W30" s="460"/>
      <c r="X30" s="474"/>
      <c r="Y30" s="517"/>
      <c r="Z30" s="175"/>
      <c r="AA30" s="459"/>
      <c r="AB30" s="474"/>
      <c r="AC30" s="517"/>
      <c r="AD30" s="184"/>
      <c r="AE30" s="850"/>
    </row>
    <row r="31" spans="1:31" x14ac:dyDescent="0.3">
      <c r="A31" s="172" t="s">
        <v>76</v>
      </c>
      <c r="B31" s="450"/>
      <c r="C31" s="451"/>
      <c r="D31" s="451"/>
      <c r="E31" s="535"/>
      <c r="F31" s="184"/>
      <c r="G31" s="463"/>
      <c r="H31" s="464"/>
      <c r="I31" s="464"/>
      <c r="J31" s="541"/>
      <c r="K31" s="184"/>
      <c r="L31" s="450"/>
      <c r="M31" s="451"/>
      <c r="N31" s="451"/>
      <c r="O31" s="535"/>
      <c r="P31" s="184"/>
      <c r="Q31" s="463"/>
      <c r="R31" s="464"/>
      <c r="S31" s="464"/>
      <c r="T31" s="541"/>
      <c r="U31" s="184"/>
      <c r="V31" s="450"/>
      <c r="W31" s="451"/>
      <c r="X31" s="451"/>
      <c r="Y31" s="535"/>
      <c r="Z31" s="184"/>
      <c r="AA31" s="450"/>
      <c r="AB31" s="451"/>
      <c r="AC31" s="535"/>
      <c r="AD31" s="184"/>
      <c r="AE31" s="850"/>
    </row>
    <row r="32" spans="1:31" x14ac:dyDescent="0.3">
      <c r="A32" s="172" t="s">
        <v>77</v>
      </c>
      <c r="B32" s="450"/>
      <c r="C32" s="451"/>
      <c r="D32" s="451"/>
      <c r="E32" s="535"/>
      <c r="F32" s="184"/>
      <c r="G32" s="463"/>
      <c r="H32" s="464"/>
      <c r="I32" s="464"/>
      <c r="J32" s="541"/>
      <c r="K32" s="184"/>
      <c r="L32" s="450"/>
      <c r="M32" s="451"/>
      <c r="N32" s="451"/>
      <c r="O32" s="535"/>
      <c r="P32" s="184"/>
      <c r="Q32" s="463"/>
      <c r="R32" s="464"/>
      <c r="S32" s="464"/>
      <c r="T32" s="541"/>
      <c r="U32" s="184"/>
      <c r="V32" s="450"/>
      <c r="W32" s="451"/>
      <c r="X32" s="451"/>
      <c r="Y32" s="535"/>
      <c r="Z32" s="184"/>
      <c r="AA32" s="450"/>
      <c r="AB32" s="451"/>
      <c r="AC32" s="535"/>
      <c r="AD32" s="191"/>
      <c r="AE32" s="851"/>
    </row>
    <row r="33" spans="1:31" x14ac:dyDescent="0.3">
      <c r="A33" s="190" t="s">
        <v>78</v>
      </c>
      <c r="B33" s="450">
        <v>121557</v>
      </c>
      <c r="C33" s="451">
        <v>120444</v>
      </c>
      <c r="D33" s="451">
        <f t="shared" ref="D33:D40" si="14">C33-B33</f>
        <v>-1113</v>
      </c>
      <c r="E33" s="222">
        <f t="shared" ref="E33:E41" si="15">IF(ISERROR(D33/B33),"-",D33/B33)</f>
        <v>-9.1561983267109265E-3</v>
      </c>
      <c r="F33" s="191"/>
      <c r="G33" s="450">
        <v>121557</v>
      </c>
      <c r="H33" s="451">
        <v>120444</v>
      </c>
      <c r="I33" s="451">
        <f t="shared" ref="I33:I40" si="16">H33-G33</f>
        <v>-1113</v>
      </c>
      <c r="J33" s="223">
        <f t="shared" ref="J33:J41" si="17">IF(ISERROR(I33/G33),"-",I33/G33)</f>
        <v>-9.1561983267109265E-3</v>
      </c>
      <c r="K33" s="191"/>
      <c r="L33" s="450">
        <v>121557</v>
      </c>
      <c r="M33" s="450">
        <v>116398</v>
      </c>
      <c r="N33" s="451">
        <f t="shared" ref="N33:N40" si="18">M33-L33</f>
        <v>-5159</v>
      </c>
      <c r="O33" s="220">
        <f t="shared" ref="O33:O41" si="19">IF(ISERROR(N33/L33),"-",N33/L33)</f>
        <v>-4.2440994759660081E-2</v>
      </c>
      <c r="P33" s="191"/>
      <c r="Q33" s="450">
        <v>121557</v>
      </c>
      <c r="R33" s="450">
        <v>118905.60000000001</v>
      </c>
      <c r="S33" s="451">
        <f t="shared" ref="S33:S40" si="20">R33-Q33</f>
        <v>-2651.3999999999942</v>
      </c>
      <c r="T33" s="221">
        <f t="shared" ref="T33:T41" si="21">IF(ISERROR(S33/Q33),"-",S33/Q33)</f>
        <v>-2.1811989437054174E-2</v>
      </c>
      <c r="U33" s="191"/>
      <c r="V33" s="450">
        <f>B33+G33+L33+Q33</f>
        <v>486228</v>
      </c>
      <c r="W33" s="451">
        <f>C33+H33+M33+R33</f>
        <v>476191.6</v>
      </c>
      <c r="X33" s="451">
        <f t="shared" ref="X33:X39" si="22">W33-V33</f>
        <v>-10036.400000000023</v>
      </c>
      <c r="Y33" s="220">
        <f t="shared" ref="Y33:Y41" si="23">IF(ISERROR(X33/V33),"-",X33/V33)</f>
        <v>-2.0641345212534086E-2</v>
      </c>
      <c r="Z33" s="191"/>
      <c r="AA33" s="450">
        <v>487608</v>
      </c>
      <c r="AB33" s="451">
        <f>AA33-W33</f>
        <v>11416.400000000023</v>
      </c>
      <c r="AC33" s="222">
        <f t="shared" ref="AC33:AC41" si="24">IF(ISERROR(AB33/AA33),"-",AB33/AA33)</f>
        <v>2.3413069514856243E-2</v>
      </c>
      <c r="AD33" s="191"/>
      <c r="AE33" s="851"/>
    </row>
    <row r="34" spans="1:31" x14ac:dyDescent="0.3">
      <c r="A34" s="190" t="s">
        <v>79</v>
      </c>
      <c r="B34" s="450">
        <v>2325</v>
      </c>
      <c r="C34" s="451">
        <v>1050</v>
      </c>
      <c r="D34" s="451">
        <f t="shared" si="14"/>
        <v>-1275</v>
      </c>
      <c r="E34" s="222">
        <f t="shared" si="15"/>
        <v>-0.54838709677419351</v>
      </c>
      <c r="F34" s="191"/>
      <c r="G34" s="450">
        <v>2325</v>
      </c>
      <c r="H34" s="451">
        <v>1050</v>
      </c>
      <c r="I34" s="451">
        <f t="shared" si="16"/>
        <v>-1275</v>
      </c>
      <c r="J34" s="223">
        <f t="shared" si="17"/>
        <v>-0.54838709677419351</v>
      </c>
      <c r="K34" s="191"/>
      <c r="L34" s="450">
        <v>2325</v>
      </c>
      <c r="M34" s="450">
        <v>1050</v>
      </c>
      <c r="N34" s="451">
        <f t="shared" si="18"/>
        <v>-1275</v>
      </c>
      <c r="O34" s="220">
        <f t="shared" si="19"/>
        <v>-0.54838709677419351</v>
      </c>
      <c r="P34" s="191"/>
      <c r="Q34" s="450">
        <v>2325</v>
      </c>
      <c r="R34" s="450">
        <v>1050</v>
      </c>
      <c r="S34" s="451">
        <f t="shared" si="20"/>
        <v>-1275</v>
      </c>
      <c r="T34" s="221">
        <f t="shared" si="21"/>
        <v>-0.54838709677419351</v>
      </c>
      <c r="U34" s="191"/>
      <c r="V34" s="450">
        <f t="shared" ref="V34:W40" si="25">B34+G34+L34+Q34</f>
        <v>9300</v>
      </c>
      <c r="W34" s="451">
        <f>C34+H34+M34+R34</f>
        <v>4200</v>
      </c>
      <c r="X34" s="451">
        <f>W34-V34</f>
        <v>-5100</v>
      </c>
      <c r="Y34" s="220">
        <f t="shared" si="23"/>
        <v>-0.54838709677419351</v>
      </c>
      <c r="Z34" s="191"/>
      <c r="AA34" s="450">
        <v>4200</v>
      </c>
      <c r="AB34" s="451">
        <f t="shared" ref="AB34:AB40" si="26">AA34-W34</f>
        <v>0</v>
      </c>
      <c r="AC34" s="222">
        <f t="shared" si="24"/>
        <v>0</v>
      </c>
      <c r="AD34" s="191"/>
      <c r="AE34" s="851"/>
    </row>
    <row r="35" spans="1:31" x14ac:dyDescent="0.3">
      <c r="A35" s="190" t="s">
        <v>81</v>
      </c>
      <c r="B35" s="450">
        <v>3646.71</v>
      </c>
      <c r="C35" s="451">
        <v>0</v>
      </c>
      <c r="D35" s="451">
        <f t="shared" si="14"/>
        <v>-3646.71</v>
      </c>
      <c r="E35" s="222">
        <f t="shared" si="15"/>
        <v>-1</v>
      </c>
      <c r="F35" s="191"/>
      <c r="G35" s="450">
        <v>3646.71</v>
      </c>
      <c r="H35" s="451">
        <v>0</v>
      </c>
      <c r="I35" s="451">
        <f t="shared" si="16"/>
        <v>-3646.71</v>
      </c>
      <c r="J35" s="223">
        <f t="shared" si="17"/>
        <v>-1</v>
      </c>
      <c r="K35" s="191"/>
      <c r="L35" s="450">
        <v>3647</v>
      </c>
      <c r="M35" s="450">
        <v>0</v>
      </c>
      <c r="N35" s="451">
        <f t="shared" si="18"/>
        <v>-3647</v>
      </c>
      <c r="O35" s="220">
        <f t="shared" si="19"/>
        <v>-1</v>
      </c>
      <c r="P35" s="191"/>
      <c r="Q35" s="450">
        <v>3646.71</v>
      </c>
      <c r="R35" s="450">
        <v>24019.58</v>
      </c>
      <c r="S35" s="451">
        <f t="shared" si="20"/>
        <v>20372.870000000003</v>
      </c>
      <c r="T35" s="221">
        <f t="shared" si="21"/>
        <v>5.5866438515812886</v>
      </c>
      <c r="U35" s="191"/>
      <c r="V35" s="450">
        <f t="shared" si="25"/>
        <v>14587.130000000001</v>
      </c>
      <c r="W35" s="451">
        <f t="shared" si="25"/>
        <v>24019.58</v>
      </c>
      <c r="X35" s="451">
        <f t="shared" si="22"/>
        <v>9432.4500000000007</v>
      </c>
      <c r="Y35" s="220">
        <f t="shared" si="23"/>
        <v>0.64662822638860418</v>
      </c>
      <c r="Z35" s="191"/>
      <c r="AA35" s="450">
        <v>14628</v>
      </c>
      <c r="AB35" s="451">
        <f t="shared" si="26"/>
        <v>-9391.5800000000017</v>
      </c>
      <c r="AC35" s="222">
        <f t="shared" si="24"/>
        <v>-0.6420276182663387</v>
      </c>
      <c r="AD35" s="256"/>
      <c r="AE35" s="850"/>
    </row>
    <row r="36" spans="1:31" x14ac:dyDescent="0.3">
      <c r="A36" s="190" t="s">
        <v>106</v>
      </c>
      <c r="B36" s="450">
        <v>4575.75</v>
      </c>
      <c r="C36" s="451">
        <v>4563.6000000000004</v>
      </c>
      <c r="D36" s="451">
        <f t="shared" si="14"/>
        <v>-12.149999999999636</v>
      </c>
      <c r="E36" s="222">
        <f t="shared" si="15"/>
        <v>-2.6553024094409959E-3</v>
      </c>
      <c r="F36" s="256"/>
      <c r="G36" s="450">
        <v>4575.75</v>
      </c>
      <c r="H36" s="451">
        <v>4568.1000000000004</v>
      </c>
      <c r="I36" s="451">
        <f t="shared" si="16"/>
        <v>-7.6499999999996362</v>
      </c>
      <c r="J36" s="223">
        <f t="shared" si="17"/>
        <v>-1.6718570726109679E-3</v>
      </c>
      <c r="K36" s="256"/>
      <c r="L36" s="450">
        <v>4576</v>
      </c>
      <c r="M36" s="450">
        <v>3045</v>
      </c>
      <c r="N36" s="451">
        <f t="shared" si="18"/>
        <v>-1531</v>
      </c>
      <c r="O36" s="222">
        <f t="shared" si="19"/>
        <v>-0.33457167832167833</v>
      </c>
      <c r="P36" s="256"/>
      <c r="Q36" s="450">
        <v>4575.75</v>
      </c>
      <c r="R36" s="450">
        <v>4568.1000000000004</v>
      </c>
      <c r="S36" s="451">
        <f t="shared" si="20"/>
        <v>-7.6499999999996362</v>
      </c>
      <c r="T36" s="223">
        <f t="shared" si="21"/>
        <v>-1.6718570726109679E-3</v>
      </c>
      <c r="U36" s="256"/>
      <c r="V36" s="450">
        <f t="shared" si="25"/>
        <v>18303.25</v>
      </c>
      <c r="W36" s="451">
        <f t="shared" si="25"/>
        <v>16744.800000000003</v>
      </c>
      <c r="X36" s="451">
        <f t="shared" si="22"/>
        <v>-1558.4499999999971</v>
      </c>
      <c r="Y36" s="294">
        <f t="shared" si="23"/>
        <v>-8.5146080614098424E-2</v>
      </c>
      <c r="Z36" s="256"/>
      <c r="AA36" s="450">
        <v>18372</v>
      </c>
      <c r="AB36" s="451">
        <f t="shared" si="26"/>
        <v>1627.1999999999971</v>
      </c>
      <c r="AC36" s="222">
        <f t="shared" si="24"/>
        <v>8.8569562377530872E-2</v>
      </c>
      <c r="AD36" s="256"/>
      <c r="AE36" s="850"/>
    </row>
    <row r="37" spans="1:31" x14ac:dyDescent="0.3">
      <c r="A37" s="190" t="s">
        <v>80</v>
      </c>
      <c r="B37" s="450">
        <v>0</v>
      </c>
      <c r="C37" s="451">
        <v>0</v>
      </c>
      <c r="D37" s="451">
        <f t="shared" si="14"/>
        <v>0</v>
      </c>
      <c r="E37" s="222" t="str">
        <f t="shared" si="15"/>
        <v>-</v>
      </c>
      <c r="F37" s="256"/>
      <c r="G37" s="450">
        <v>0</v>
      </c>
      <c r="H37" s="451">
        <v>0</v>
      </c>
      <c r="I37" s="451">
        <f t="shared" si="16"/>
        <v>0</v>
      </c>
      <c r="J37" s="223" t="str">
        <f t="shared" si="17"/>
        <v>-</v>
      </c>
      <c r="K37" s="256"/>
      <c r="L37" s="450">
        <v>0</v>
      </c>
      <c r="M37" s="450">
        <v>0</v>
      </c>
      <c r="N37" s="451">
        <f t="shared" si="18"/>
        <v>0</v>
      </c>
      <c r="O37" s="294" t="str">
        <f t="shared" si="19"/>
        <v>-</v>
      </c>
      <c r="P37" s="256"/>
      <c r="Q37" s="450">
        <v>0</v>
      </c>
      <c r="R37" s="450">
        <v>0</v>
      </c>
      <c r="S37" s="451">
        <f t="shared" si="20"/>
        <v>0</v>
      </c>
      <c r="T37" s="295" t="str">
        <f t="shared" si="21"/>
        <v>-</v>
      </c>
      <c r="U37" s="256"/>
      <c r="V37" s="450">
        <f t="shared" si="25"/>
        <v>0</v>
      </c>
      <c r="W37" s="451">
        <f t="shared" si="25"/>
        <v>0</v>
      </c>
      <c r="X37" s="451">
        <f t="shared" si="22"/>
        <v>0</v>
      </c>
      <c r="Y37" s="294" t="str">
        <f t="shared" si="23"/>
        <v>-</v>
      </c>
      <c r="Z37" s="256"/>
      <c r="AA37" s="450">
        <v>0</v>
      </c>
      <c r="AB37" s="451">
        <f t="shared" si="26"/>
        <v>0</v>
      </c>
      <c r="AC37" s="222" t="str">
        <f t="shared" si="24"/>
        <v>-</v>
      </c>
      <c r="AD37" s="191"/>
      <c r="AE37" s="851"/>
    </row>
    <row r="38" spans="1:31" x14ac:dyDescent="0.3">
      <c r="A38" s="190" t="s">
        <v>130</v>
      </c>
      <c r="B38" s="450">
        <v>6660</v>
      </c>
      <c r="C38" s="451">
        <v>6660</v>
      </c>
      <c r="D38" s="451">
        <f t="shared" si="14"/>
        <v>0</v>
      </c>
      <c r="E38" s="222">
        <f t="shared" si="15"/>
        <v>0</v>
      </c>
      <c r="F38" s="191"/>
      <c r="G38" s="450">
        <v>6660</v>
      </c>
      <c r="H38" s="451">
        <v>6660</v>
      </c>
      <c r="I38" s="451">
        <f t="shared" si="16"/>
        <v>0</v>
      </c>
      <c r="J38" s="223">
        <f t="shared" si="17"/>
        <v>0</v>
      </c>
      <c r="K38" s="191"/>
      <c r="L38" s="450">
        <v>6660</v>
      </c>
      <c r="M38" s="450">
        <v>6660</v>
      </c>
      <c r="N38" s="451">
        <f t="shared" si="18"/>
        <v>0</v>
      </c>
      <c r="O38" s="220">
        <f t="shared" si="19"/>
        <v>0</v>
      </c>
      <c r="P38" s="191"/>
      <c r="Q38" s="450">
        <v>6660</v>
      </c>
      <c r="R38" s="450">
        <v>6660</v>
      </c>
      <c r="S38" s="451">
        <f t="shared" si="20"/>
        <v>0</v>
      </c>
      <c r="T38" s="221">
        <f t="shared" si="21"/>
        <v>0</v>
      </c>
      <c r="U38" s="191"/>
      <c r="V38" s="450">
        <f t="shared" si="25"/>
        <v>26640</v>
      </c>
      <c r="W38" s="451">
        <f t="shared" si="25"/>
        <v>26640</v>
      </c>
      <c r="X38" s="451">
        <f t="shared" si="22"/>
        <v>0</v>
      </c>
      <c r="Y38" s="220">
        <f t="shared" si="23"/>
        <v>0</v>
      </c>
      <c r="Z38" s="191"/>
      <c r="AA38" s="450">
        <v>26640</v>
      </c>
      <c r="AB38" s="451">
        <f t="shared" si="26"/>
        <v>0</v>
      </c>
      <c r="AC38" s="222">
        <f t="shared" si="24"/>
        <v>0</v>
      </c>
      <c r="AD38" s="191"/>
      <c r="AE38" s="851"/>
    </row>
    <row r="39" spans="1:31" x14ac:dyDescent="0.3">
      <c r="A39" s="190" t="s">
        <v>129</v>
      </c>
      <c r="B39" s="450">
        <v>7000</v>
      </c>
      <c r="C39" s="451">
        <v>0</v>
      </c>
      <c r="D39" s="451">
        <f t="shared" si="14"/>
        <v>-7000</v>
      </c>
      <c r="E39" s="222">
        <f t="shared" si="15"/>
        <v>-1</v>
      </c>
      <c r="F39" s="191"/>
      <c r="G39" s="450">
        <v>7000</v>
      </c>
      <c r="H39" s="451">
        <v>0</v>
      </c>
      <c r="I39" s="451">
        <f t="shared" si="16"/>
        <v>-7000</v>
      </c>
      <c r="J39" s="223">
        <f t="shared" si="17"/>
        <v>-1</v>
      </c>
      <c r="K39" s="191"/>
      <c r="L39" s="450">
        <v>7000</v>
      </c>
      <c r="M39" s="450">
        <v>14375</v>
      </c>
      <c r="N39" s="451">
        <f t="shared" si="18"/>
        <v>7375</v>
      </c>
      <c r="O39" s="220">
        <f t="shared" si="19"/>
        <v>1.0535714285714286</v>
      </c>
      <c r="P39" s="191"/>
      <c r="Q39" s="450">
        <v>7000</v>
      </c>
      <c r="R39" s="450">
        <v>332.4</v>
      </c>
      <c r="S39" s="451">
        <f t="shared" si="20"/>
        <v>-6667.6</v>
      </c>
      <c r="T39" s="221">
        <f t="shared" si="21"/>
        <v>-0.95251428571428576</v>
      </c>
      <c r="U39" s="191"/>
      <c r="V39" s="450">
        <f t="shared" si="25"/>
        <v>28000</v>
      </c>
      <c r="W39" s="451">
        <f t="shared" si="25"/>
        <v>14707.4</v>
      </c>
      <c r="X39" s="451">
        <f t="shared" si="22"/>
        <v>-13292.6</v>
      </c>
      <c r="Y39" s="220">
        <f t="shared" si="23"/>
        <v>-0.47473571428571432</v>
      </c>
      <c r="Z39" s="191"/>
      <c r="AA39" s="450">
        <v>28000</v>
      </c>
      <c r="AB39" s="451">
        <f t="shared" si="26"/>
        <v>13292.6</v>
      </c>
      <c r="AC39" s="222">
        <f t="shared" si="24"/>
        <v>0.47473571428571432</v>
      </c>
      <c r="AD39" s="184"/>
      <c r="AE39" s="851"/>
    </row>
    <row r="40" spans="1:31" x14ac:dyDescent="0.3">
      <c r="A40" s="258" t="s">
        <v>40</v>
      </c>
      <c r="B40" s="477">
        <v>0</v>
      </c>
      <c r="C40" s="478">
        <v>0</v>
      </c>
      <c r="D40" s="451">
        <f t="shared" si="14"/>
        <v>0</v>
      </c>
      <c r="E40" s="261" t="str">
        <f t="shared" si="15"/>
        <v>-</v>
      </c>
      <c r="F40" s="184"/>
      <c r="G40" s="450">
        <v>0</v>
      </c>
      <c r="H40" s="451">
        <v>0</v>
      </c>
      <c r="I40" s="451">
        <f t="shared" si="16"/>
        <v>0</v>
      </c>
      <c r="J40" s="234" t="str">
        <f t="shared" si="17"/>
        <v>-</v>
      </c>
      <c r="K40" s="184"/>
      <c r="L40" s="450">
        <v>0</v>
      </c>
      <c r="M40" s="450">
        <v>0</v>
      </c>
      <c r="N40" s="451">
        <f t="shared" si="18"/>
        <v>0</v>
      </c>
      <c r="O40" s="259" t="str">
        <f t="shared" si="19"/>
        <v>-</v>
      </c>
      <c r="P40" s="184"/>
      <c r="Q40" s="450">
        <v>0</v>
      </c>
      <c r="R40" s="450">
        <v>0</v>
      </c>
      <c r="S40" s="451">
        <f t="shared" si="20"/>
        <v>0</v>
      </c>
      <c r="T40" s="260" t="str">
        <f t="shared" si="21"/>
        <v>-</v>
      </c>
      <c r="U40" s="184"/>
      <c r="V40" s="477">
        <f t="shared" si="25"/>
        <v>0</v>
      </c>
      <c r="W40" s="478">
        <f t="shared" si="25"/>
        <v>0</v>
      </c>
      <c r="X40" s="451">
        <f>W40-V40</f>
        <v>0</v>
      </c>
      <c r="Y40" s="259" t="str">
        <f t="shared" si="23"/>
        <v>-</v>
      </c>
      <c r="Z40" s="184"/>
      <c r="AA40" s="450">
        <v>5100</v>
      </c>
      <c r="AB40" s="478">
        <f t="shared" si="26"/>
        <v>5100</v>
      </c>
      <c r="AC40" s="259">
        <f t="shared" si="24"/>
        <v>1</v>
      </c>
      <c r="AD40" s="191"/>
      <c r="AE40" s="852"/>
    </row>
    <row r="41" spans="1:31" x14ac:dyDescent="0.3">
      <c r="A41" s="199" t="s">
        <v>83</v>
      </c>
      <c r="B41" s="469">
        <f>SUM(B33:B40)</f>
        <v>145764.46000000002</v>
      </c>
      <c r="C41" s="470">
        <f>SUM(C33:C40)</f>
        <v>132717.6</v>
      </c>
      <c r="D41" s="470">
        <f>SUM(D33:D40)</f>
        <v>-13046.86</v>
      </c>
      <c r="E41" s="237">
        <f t="shared" si="15"/>
        <v>-8.9506454453986917E-2</v>
      </c>
      <c r="F41" s="191"/>
      <c r="G41" s="469">
        <f>SUM(G33:G40)</f>
        <v>145764.46000000002</v>
      </c>
      <c r="H41" s="470">
        <f>SUM(H33:H40)</f>
        <v>132722.1</v>
      </c>
      <c r="I41" s="470">
        <f>SUM(I33:I40)</f>
        <v>-13042.36</v>
      </c>
      <c r="J41" s="237">
        <f t="shared" si="17"/>
        <v>-8.9475582731208952E-2</v>
      </c>
      <c r="K41" s="191"/>
      <c r="L41" s="469">
        <f>SUM(L33:L40)</f>
        <v>145765</v>
      </c>
      <c r="M41" s="470">
        <f>SUM(M33:M40)</f>
        <v>141528</v>
      </c>
      <c r="N41" s="470">
        <f>SUM(N33:N40)</f>
        <v>-4237</v>
      </c>
      <c r="O41" s="237">
        <f t="shared" si="19"/>
        <v>-2.9067334408122664E-2</v>
      </c>
      <c r="P41" s="191"/>
      <c r="Q41" s="469">
        <f>SUM(Q33:Q40)</f>
        <v>145764.46000000002</v>
      </c>
      <c r="R41" s="470">
        <f>SUM(R33:R40)</f>
        <v>155535.67999999999</v>
      </c>
      <c r="S41" s="470">
        <f>SUM(S33:S40)</f>
        <v>9771.2200000000066</v>
      </c>
      <c r="T41" s="237">
        <f t="shared" si="21"/>
        <v>6.7034310009449524E-2</v>
      </c>
      <c r="U41" s="191"/>
      <c r="V41" s="469">
        <f>SUM(V33:V40)</f>
        <v>583058.38</v>
      </c>
      <c r="W41" s="470">
        <f>SUM(W33:W40)</f>
        <v>562503.38</v>
      </c>
      <c r="X41" s="470">
        <f>SUM(X33:X40)</f>
        <v>-20555.000000000022</v>
      </c>
      <c r="Y41" s="237">
        <f t="shared" si="23"/>
        <v>-3.525375966639914E-2</v>
      </c>
      <c r="Z41" s="191"/>
      <c r="AA41" s="471">
        <f>SUM(AA33:AA40)</f>
        <v>584548</v>
      </c>
      <c r="AB41" s="472">
        <f>SUM(AB33:AB40)</f>
        <v>22044.620000000017</v>
      </c>
      <c r="AC41" s="544">
        <f t="shared" si="24"/>
        <v>3.7712249464543574E-2</v>
      </c>
      <c r="AD41" s="184"/>
      <c r="AE41" s="850"/>
    </row>
    <row r="42" spans="1:31" x14ac:dyDescent="0.3">
      <c r="A42" s="242"/>
      <c r="B42" s="459"/>
      <c r="C42" s="460"/>
      <c r="D42" s="460"/>
      <c r="E42" s="532"/>
      <c r="F42" s="184"/>
      <c r="G42" s="461"/>
      <c r="H42" s="462"/>
      <c r="I42" s="462"/>
      <c r="J42" s="545"/>
      <c r="K42" s="184"/>
      <c r="L42" s="459"/>
      <c r="M42" s="460"/>
      <c r="N42" s="460"/>
      <c r="O42" s="532"/>
      <c r="P42" s="184"/>
      <c r="Q42" s="461"/>
      <c r="R42" s="462"/>
      <c r="S42" s="462"/>
      <c r="T42" s="545"/>
      <c r="U42" s="184"/>
      <c r="V42" s="459"/>
      <c r="W42" s="460"/>
      <c r="X42" s="460"/>
      <c r="Y42" s="213"/>
      <c r="Z42" s="184"/>
      <c r="AA42" s="459"/>
      <c r="AB42" s="460"/>
      <c r="AC42" s="213"/>
      <c r="AD42" s="175"/>
      <c r="AE42" s="850"/>
    </row>
    <row r="43" spans="1:31" x14ac:dyDescent="0.3">
      <c r="A43" s="172" t="s">
        <v>84</v>
      </c>
      <c r="B43" s="481"/>
      <c r="C43" s="482"/>
      <c r="D43" s="482"/>
      <c r="E43" s="546"/>
      <c r="F43" s="175"/>
      <c r="G43" s="483"/>
      <c r="H43" s="484"/>
      <c r="I43" s="484"/>
      <c r="J43" s="547"/>
      <c r="K43" s="175"/>
      <c r="L43" s="481"/>
      <c r="M43" s="482"/>
      <c r="N43" s="482"/>
      <c r="O43" s="546"/>
      <c r="P43" s="175"/>
      <c r="Q43" s="483"/>
      <c r="R43" s="484"/>
      <c r="S43" s="484"/>
      <c r="T43" s="547"/>
      <c r="U43" s="175"/>
      <c r="V43" s="481"/>
      <c r="W43" s="482"/>
      <c r="X43" s="451"/>
      <c r="Y43" s="251"/>
      <c r="Z43" s="175"/>
      <c r="AA43" s="481"/>
      <c r="AB43" s="451"/>
      <c r="AC43" s="251"/>
      <c r="AD43" s="191"/>
      <c r="AE43" s="853"/>
    </row>
    <row r="44" spans="1:31" x14ac:dyDescent="0.3">
      <c r="A44" s="190" t="s">
        <v>85</v>
      </c>
      <c r="B44" s="450">
        <v>0</v>
      </c>
      <c r="C44" s="451">
        <v>0</v>
      </c>
      <c r="D44" s="451">
        <f t="shared" ref="D44:D75" si="27">C44-B44</f>
        <v>0</v>
      </c>
      <c r="E44" s="222" t="str">
        <f t="shared" ref="E44:E51" si="28">IF(ISERROR(D44/B44),"-",D44/B44)</f>
        <v>-</v>
      </c>
      <c r="F44" s="191"/>
      <c r="G44" s="450">
        <v>0</v>
      </c>
      <c r="H44" s="451">
        <v>0</v>
      </c>
      <c r="I44" s="451">
        <f t="shared" ref="I44:I75" si="29">H44-G44</f>
        <v>0</v>
      </c>
      <c r="J44" s="223" t="str">
        <f t="shared" ref="J44:J51" si="30">IF(ISERROR(I44/G44),"-",I44/G44)</f>
        <v>-</v>
      </c>
      <c r="K44" s="191"/>
      <c r="L44" s="450">
        <v>0</v>
      </c>
      <c r="M44" s="450">
        <v>0</v>
      </c>
      <c r="N44" s="451">
        <f t="shared" ref="N44:N75" si="31">M44-L44</f>
        <v>0</v>
      </c>
      <c r="O44" s="220" t="str">
        <f t="shared" ref="O44:O51" si="32">IF(ISERROR(N44/L44),"-",N44/L44)</f>
        <v>-</v>
      </c>
      <c r="P44" s="191"/>
      <c r="Q44" s="463">
        <v>0</v>
      </c>
      <c r="R44" s="463">
        <v>0</v>
      </c>
      <c r="S44" s="451">
        <f t="shared" ref="S44:S75" si="33">R44-Q44</f>
        <v>0</v>
      </c>
      <c r="T44" s="221" t="str">
        <f t="shared" ref="T44:T51" si="34">IF(ISERROR(S44/Q44),"-",S44/Q44)</f>
        <v>-</v>
      </c>
      <c r="U44" s="191"/>
      <c r="V44" s="450">
        <f>B44+G44+L44+Q44</f>
        <v>0</v>
      </c>
      <c r="W44" s="451">
        <f>C44+H44+M44+R44</f>
        <v>0</v>
      </c>
      <c r="X44" s="451">
        <f t="shared" ref="X44:X75" si="35">W44-V44</f>
        <v>0</v>
      </c>
      <c r="Y44" s="220" t="str">
        <f t="shared" ref="Y44:Y51" si="36">IF(ISERROR(X44/V44),"-",X44/V44)</f>
        <v>-</v>
      </c>
      <c r="Z44" s="191"/>
      <c r="AA44" s="450">
        <f>B44*4</f>
        <v>0</v>
      </c>
      <c r="AB44" s="451">
        <f t="shared" ref="AB44:AB50" si="37">AA44-W44</f>
        <v>0</v>
      </c>
      <c r="AC44" s="222" t="str">
        <f t="shared" ref="AC44:AC50" si="38">IF(ISERROR(AB44/AA44),"-",AB44/AA44)</f>
        <v>-</v>
      </c>
      <c r="AD44" s="256"/>
      <c r="AE44" s="850"/>
    </row>
    <row r="45" spans="1:31" x14ac:dyDescent="0.3">
      <c r="A45" s="190" t="s">
        <v>128</v>
      </c>
      <c r="B45" s="450">
        <v>60000</v>
      </c>
      <c r="C45" s="451">
        <v>0</v>
      </c>
      <c r="D45" s="451">
        <f t="shared" si="27"/>
        <v>-60000</v>
      </c>
      <c r="E45" s="222">
        <f t="shared" si="28"/>
        <v>-1</v>
      </c>
      <c r="F45" s="256"/>
      <c r="G45" s="450">
        <v>60000</v>
      </c>
      <c r="H45" s="451">
        <v>0</v>
      </c>
      <c r="I45" s="451">
        <f t="shared" si="29"/>
        <v>-60000</v>
      </c>
      <c r="J45" s="223">
        <f t="shared" si="30"/>
        <v>-1</v>
      </c>
      <c r="K45" s="256"/>
      <c r="L45" s="450">
        <v>60000</v>
      </c>
      <c r="M45" s="450">
        <v>0</v>
      </c>
      <c r="N45" s="451">
        <f t="shared" si="31"/>
        <v>-60000</v>
      </c>
      <c r="O45" s="220">
        <f t="shared" si="32"/>
        <v>-1</v>
      </c>
      <c r="P45" s="256"/>
      <c r="Q45" s="463">
        <v>60000</v>
      </c>
      <c r="R45" s="463">
        <v>51861.33</v>
      </c>
      <c r="S45" s="451">
        <f t="shared" si="33"/>
        <v>-8138.6699999999983</v>
      </c>
      <c r="T45" s="221">
        <f t="shared" si="34"/>
        <v>-0.13564449999999997</v>
      </c>
      <c r="U45" s="256"/>
      <c r="V45" s="450">
        <f t="shared" ref="V45:V75" si="39">B45+G45+L45+Q45</f>
        <v>240000</v>
      </c>
      <c r="W45" s="451">
        <f t="shared" ref="W45:W75" si="40">C45+H45+M45+R45</f>
        <v>51861.33</v>
      </c>
      <c r="X45" s="451">
        <f t="shared" si="35"/>
        <v>-188138.66999999998</v>
      </c>
      <c r="Y45" s="220">
        <f t="shared" si="36"/>
        <v>-0.78391112499999993</v>
      </c>
      <c r="Z45" s="256"/>
      <c r="AA45" s="450">
        <v>240000</v>
      </c>
      <c r="AB45" s="451">
        <f t="shared" si="37"/>
        <v>188138.66999999998</v>
      </c>
      <c r="AC45" s="222">
        <f t="shared" si="38"/>
        <v>0.78391112499999993</v>
      </c>
      <c r="AD45" s="256"/>
      <c r="AE45" s="850"/>
    </row>
    <row r="46" spans="1:31" x14ac:dyDescent="0.3">
      <c r="A46" s="190" t="s">
        <v>184</v>
      </c>
      <c r="B46" s="450">
        <v>0</v>
      </c>
      <c r="C46" s="451">
        <v>0</v>
      </c>
      <c r="D46" s="451">
        <f t="shared" si="27"/>
        <v>0</v>
      </c>
      <c r="E46" s="222" t="str">
        <f t="shared" si="28"/>
        <v>-</v>
      </c>
      <c r="F46" s="256"/>
      <c r="G46" s="450">
        <v>0</v>
      </c>
      <c r="H46" s="451">
        <v>0</v>
      </c>
      <c r="I46" s="451">
        <f t="shared" si="29"/>
        <v>0</v>
      </c>
      <c r="J46" s="223" t="str">
        <f t="shared" si="30"/>
        <v>-</v>
      </c>
      <c r="K46" s="256"/>
      <c r="L46" s="450">
        <v>0</v>
      </c>
      <c r="M46" s="450">
        <v>0</v>
      </c>
      <c r="N46" s="451">
        <f t="shared" si="31"/>
        <v>0</v>
      </c>
      <c r="O46" s="294" t="str">
        <f t="shared" si="32"/>
        <v>-</v>
      </c>
      <c r="P46" s="256"/>
      <c r="Q46" s="463">
        <v>0</v>
      </c>
      <c r="R46" s="463">
        <v>0</v>
      </c>
      <c r="S46" s="451">
        <f t="shared" si="33"/>
        <v>0</v>
      </c>
      <c r="T46" s="295" t="str">
        <f t="shared" si="34"/>
        <v>-</v>
      </c>
      <c r="U46" s="256"/>
      <c r="V46" s="450">
        <f t="shared" si="39"/>
        <v>0</v>
      </c>
      <c r="W46" s="451">
        <f t="shared" si="40"/>
        <v>0</v>
      </c>
      <c r="X46" s="451">
        <f t="shared" si="35"/>
        <v>0</v>
      </c>
      <c r="Y46" s="294" t="str">
        <f t="shared" si="36"/>
        <v>-</v>
      </c>
      <c r="Z46" s="256"/>
      <c r="AA46" s="450">
        <v>0</v>
      </c>
      <c r="AB46" s="451">
        <f t="shared" si="37"/>
        <v>0</v>
      </c>
      <c r="AC46" s="222" t="str">
        <f t="shared" si="38"/>
        <v>-</v>
      </c>
      <c r="AD46" s="256"/>
      <c r="AE46" s="853"/>
    </row>
    <row r="47" spans="1:31" x14ac:dyDescent="0.3">
      <c r="A47" s="190" t="s">
        <v>86</v>
      </c>
      <c r="B47" s="450">
        <v>375</v>
      </c>
      <c r="C47" s="451">
        <v>193.51</v>
      </c>
      <c r="D47" s="451">
        <f t="shared" si="27"/>
        <v>-181.49</v>
      </c>
      <c r="E47" s="222">
        <f t="shared" si="28"/>
        <v>-0.48397333333333337</v>
      </c>
      <c r="F47" s="256"/>
      <c r="G47" s="450">
        <v>375</v>
      </c>
      <c r="H47" s="451">
        <v>576</v>
      </c>
      <c r="I47" s="451">
        <f t="shared" si="29"/>
        <v>201</v>
      </c>
      <c r="J47" s="223">
        <f t="shared" si="30"/>
        <v>0.53600000000000003</v>
      </c>
      <c r="K47" s="256"/>
      <c r="L47" s="450">
        <v>375</v>
      </c>
      <c r="M47" s="450">
        <v>677</v>
      </c>
      <c r="N47" s="451">
        <f t="shared" si="31"/>
        <v>302</v>
      </c>
      <c r="O47" s="220">
        <f t="shared" si="32"/>
        <v>0.80533333333333335</v>
      </c>
      <c r="P47" s="256"/>
      <c r="Q47" s="463">
        <v>375</v>
      </c>
      <c r="R47" s="463">
        <v>645</v>
      </c>
      <c r="S47" s="451">
        <f t="shared" si="33"/>
        <v>270</v>
      </c>
      <c r="T47" s="221">
        <f t="shared" si="34"/>
        <v>0.72</v>
      </c>
      <c r="U47" s="256"/>
      <c r="V47" s="450">
        <f t="shared" si="39"/>
        <v>1500</v>
      </c>
      <c r="W47" s="451">
        <f t="shared" si="40"/>
        <v>2091.5100000000002</v>
      </c>
      <c r="X47" s="451">
        <f t="shared" si="35"/>
        <v>591.51000000000022</v>
      </c>
      <c r="Y47" s="220">
        <f t="shared" si="36"/>
        <v>0.39434000000000013</v>
      </c>
      <c r="Z47" s="256"/>
      <c r="AA47" s="450">
        <v>1500</v>
      </c>
      <c r="AB47" s="451">
        <f t="shared" si="37"/>
        <v>-591.51000000000022</v>
      </c>
      <c r="AC47" s="222">
        <f t="shared" si="38"/>
        <v>-0.39434000000000013</v>
      </c>
      <c r="AD47" s="256"/>
      <c r="AE47" s="850"/>
    </row>
    <row r="48" spans="1:31" x14ac:dyDescent="0.3">
      <c r="A48" s="190" t="s">
        <v>87</v>
      </c>
      <c r="B48" s="450">
        <v>0</v>
      </c>
      <c r="C48" s="451">
        <v>0</v>
      </c>
      <c r="D48" s="451">
        <f t="shared" si="27"/>
        <v>0</v>
      </c>
      <c r="E48" s="222" t="str">
        <f t="shared" si="28"/>
        <v>-</v>
      </c>
      <c r="F48" s="256"/>
      <c r="G48" s="450">
        <v>0</v>
      </c>
      <c r="H48" s="451">
        <v>0</v>
      </c>
      <c r="I48" s="451">
        <f t="shared" si="29"/>
        <v>0</v>
      </c>
      <c r="J48" s="223" t="str">
        <f t="shared" si="30"/>
        <v>-</v>
      </c>
      <c r="K48" s="256"/>
      <c r="L48" s="450">
        <v>0</v>
      </c>
      <c r="M48" s="450">
        <v>0</v>
      </c>
      <c r="N48" s="451">
        <f t="shared" si="31"/>
        <v>0</v>
      </c>
      <c r="O48" s="294" t="str">
        <f t="shared" si="32"/>
        <v>-</v>
      </c>
      <c r="P48" s="256"/>
      <c r="Q48" s="463">
        <v>0</v>
      </c>
      <c r="R48" s="463">
        <v>0</v>
      </c>
      <c r="S48" s="451">
        <f t="shared" si="33"/>
        <v>0</v>
      </c>
      <c r="T48" s="295" t="str">
        <f t="shared" si="34"/>
        <v>-</v>
      </c>
      <c r="U48" s="256"/>
      <c r="V48" s="450">
        <f t="shared" si="39"/>
        <v>0</v>
      </c>
      <c r="W48" s="451">
        <f t="shared" si="40"/>
        <v>0</v>
      </c>
      <c r="X48" s="451">
        <f t="shared" si="35"/>
        <v>0</v>
      </c>
      <c r="Y48" s="294" t="str">
        <f t="shared" si="36"/>
        <v>-</v>
      </c>
      <c r="Z48" s="256"/>
      <c r="AA48" s="450">
        <v>0</v>
      </c>
      <c r="AB48" s="451">
        <f t="shared" si="37"/>
        <v>0</v>
      </c>
      <c r="AC48" s="222" t="str">
        <f t="shared" si="38"/>
        <v>-</v>
      </c>
      <c r="AD48" s="191"/>
      <c r="AE48" s="853"/>
    </row>
    <row r="49" spans="1:31" x14ac:dyDescent="0.3">
      <c r="A49" s="190" t="s">
        <v>88</v>
      </c>
      <c r="B49" s="450">
        <v>0</v>
      </c>
      <c r="C49" s="451">
        <v>0</v>
      </c>
      <c r="D49" s="451">
        <f t="shared" si="27"/>
        <v>0</v>
      </c>
      <c r="E49" s="222" t="str">
        <f t="shared" si="28"/>
        <v>-</v>
      </c>
      <c r="F49" s="191"/>
      <c r="G49" s="450">
        <v>0</v>
      </c>
      <c r="H49" s="451">
        <v>0</v>
      </c>
      <c r="I49" s="451">
        <f t="shared" si="29"/>
        <v>0</v>
      </c>
      <c r="J49" s="223" t="str">
        <f t="shared" si="30"/>
        <v>-</v>
      </c>
      <c r="K49" s="191"/>
      <c r="L49" s="450">
        <v>0</v>
      </c>
      <c r="M49" s="450">
        <v>0</v>
      </c>
      <c r="N49" s="451">
        <f t="shared" si="31"/>
        <v>0</v>
      </c>
      <c r="O49" s="220" t="str">
        <f t="shared" si="32"/>
        <v>-</v>
      </c>
      <c r="P49" s="191"/>
      <c r="Q49" s="463">
        <v>0</v>
      </c>
      <c r="R49" s="463">
        <v>0</v>
      </c>
      <c r="S49" s="451">
        <f t="shared" si="33"/>
        <v>0</v>
      </c>
      <c r="T49" s="221" t="str">
        <f t="shared" si="34"/>
        <v>-</v>
      </c>
      <c r="U49" s="191"/>
      <c r="V49" s="450">
        <f t="shared" si="39"/>
        <v>0</v>
      </c>
      <c r="W49" s="451">
        <f t="shared" si="40"/>
        <v>0</v>
      </c>
      <c r="X49" s="451">
        <f t="shared" si="35"/>
        <v>0</v>
      </c>
      <c r="Y49" s="220" t="str">
        <f t="shared" si="36"/>
        <v>-</v>
      </c>
      <c r="Z49" s="191"/>
      <c r="AA49" s="450">
        <v>0</v>
      </c>
      <c r="AB49" s="451">
        <f t="shared" si="37"/>
        <v>0</v>
      </c>
      <c r="AC49" s="222" t="str">
        <f t="shared" si="38"/>
        <v>-</v>
      </c>
      <c r="AD49" s="191"/>
      <c r="AE49" s="853"/>
    </row>
    <row r="50" spans="1:31" x14ac:dyDescent="0.3">
      <c r="A50" s="190" t="s">
        <v>89</v>
      </c>
      <c r="B50" s="450">
        <v>0</v>
      </c>
      <c r="C50" s="451">
        <v>0</v>
      </c>
      <c r="D50" s="451">
        <f t="shared" si="27"/>
        <v>0</v>
      </c>
      <c r="E50" s="222" t="str">
        <f t="shared" si="28"/>
        <v>-</v>
      </c>
      <c r="F50" s="191"/>
      <c r="G50" s="450">
        <v>0</v>
      </c>
      <c r="H50" s="451">
        <v>0</v>
      </c>
      <c r="I50" s="451">
        <f t="shared" si="29"/>
        <v>0</v>
      </c>
      <c r="J50" s="223" t="str">
        <f t="shared" si="30"/>
        <v>-</v>
      </c>
      <c r="K50" s="191"/>
      <c r="L50" s="450">
        <v>0</v>
      </c>
      <c r="M50" s="450">
        <v>0</v>
      </c>
      <c r="N50" s="451">
        <f t="shared" si="31"/>
        <v>0</v>
      </c>
      <c r="O50" s="220" t="str">
        <f t="shared" si="32"/>
        <v>-</v>
      </c>
      <c r="P50" s="191"/>
      <c r="Q50" s="463">
        <v>0</v>
      </c>
      <c r="R50" s="463">
        <v>0</v>
      </c>
      <c r="S50" s="451">
        <f t="shared" si="33"/>
        <v>0</v>
      </c>
      <c r="T50" s="221" t="str">
        <f t="shared" si="34"/>
        <v>-</v>
      </c>
      <c r="U50" s="191"/>
      <c r="V50" s="450">
        <f t="shared" si="39"/>
        <v>0</v>
      </c>
      <c r="W50" s="451">
        <f t="shared" si="40"/>
        <v>0</v>
      </c>
      <c r="X50" s="451">
        <f t="shared" si="35"/>
        <v>0</v>
      </c>
      <c r="Y50" s="220" t="str">
        <f t="shared" si="36"/>
        <v>-</v>
      </c>
      <c r="Z50" s="191"/>
      <c r="AA50" s="450">
        <v>0</v>
      </c>
      <c r="AB50" s="451">
        <f t="shared" si="37"/>
        <v>0</v>
      </c>
      <c r="AC50" s="222" t="str">
        <f t="shared" si="38"/>
        <v>-</v>
      </c>
      <c r="AD50" s="191"/>
      <c r="AE50" s="853"/>
    </row>
    <row r="51" spans="1:31" x14ac:dyDescent="0.3">
      <c r="A51" s="190" t="s">
        <v>183</v>
      </c>
      <c r="B51" s="450">
        <v>0</v>
      </c>
      <c r="C51" s="451">
        <v>0</v>
      </c>
      <c r="D51" s="451">
        <f t="shared" si="27"/>
        <v>0</v>
      </c>
      <c r="E51" s="222" t="str">
        <f t="shared" si="28"/>
        <v>-</v>
      </c>
      <c r="F51" s="191"/>
      <c r="G51" s="450">
        <v>0</v>
      </c>
      <c r="H51" s="451">
        <v>0</v>
      </c>
      <c r="I51" s="451">
        <f t="shared" si="29"/>
        <v>0</v>
      </c>
      <c r="J51" s="223" t="str">
        <f t="shared" si="30"/>
        <v>-</v>
      </c>
      <c r="K51" s="191"/>
      <c r="L51" s="450">
        <v>0</v>
      </c>
      <c r="M51" s="450">
        <v>0</v>
      </c>
      <c r="N51" s="451">
        <f t="shared" si="31"/>
        <v>0</v>
      </c>
      <c r="O51" s="220" t="str">
        <f t="shared" si="32"/>
        <v>-</v>
      </c>
      <c r="P51" s="191"/>
      <c r="Q51" s="463">
        <v>0</v>
      </c>
      <c r="R51" s="463">
        <v>0</v>
      </c>
      <c r="S51" s="451">
        <f t="shared" si="33"/>
        <v>0</v>
      </c>
      <c r="T51" s="221" t="str">
        <f t="shared" si="34"/>
        <v>-</v>
      </c>
      <c r="U51" s="191"/>
      <c r="V51" s="450">
        <f t="shared" si="39"/>
        <v>0</v>
      </c>
      <c r="W51" s="451">
        <f t="shared" si="40"/>
        <v>0</v>
      </c>
      <c r="X51" s="451">
        <f t="shared" si="35"/>
        <v>0</v>
      </c>
      <c r="Y51" s="220" t="str">
        <f t="shared" si="36"/>
        <v>-</v>
      </c>
      <c r="Z51" s="191"/>
      <c r="AA51" s="450">
        <v>0</v>
      </c>
      <c r="AB51" s="451"/>
      <c r="AC51" s="222"/>
      <c r="AD51" s="256"/>
      <c r="AE51" s="850"/>
    </row>
    <row r="52" spans="1:31" x14ac:dyDescent="0.3">
      <c r="A52" s="190" t="s">
        <v>182</v>
      </c>
      <c r="B52" s="450">
        <v>13544.5</v>
      </c>
      <c r="C52" s="451">
        <v>0</v>
      </c>
      <c r="D52" s="451">
        <f t="shared" si="27"/>
        <v>-13544.5</v>
      </c>
      <c r="E52" s="222">
        <f t="shared" ref="E52:E76" si="41">IF(ISERROR(D52/B52),"-",D52/B52)</f>
        <v>-1</v>
      </c>
      <c r="F52" s="256"/>
      <c r="G52" s="450">
        <v>13544.5</v>
      </c>
      <c r="H52" s="451">
        <v>0</v>
      </c>
      <c r="I52" s="451">
        <f t="shared" si="29"/>
        <v>-13544.5</v>
      </c>
      <c r="J52" s="223">
        <f t="shared" ref="J52:J75" si="42">IF(ISERROR(I52/G52),"-",I52/G52)</f>
        <v>-1</v>
      </c>
      <c r="K52" s="256"/>
      <c r="L52" s="450">
        <v>13545</v>
      </c>
      <c r="M52" s="450">
        <v>0</v>
      </c>
      <c r="N52" s="451">
        <f t="shared" si="31"/>
        <v>-13545</v>
      </c>
      <c r="O52" s="220">
        <f t="shared" ref="O52:O71" si="43">IF(ISERROR(N52/L52),"-",N52/L52)</f>
        <v>-1</v>
      </c>
      <c r="P52" s="256"/>
      <c r="Q52" s="463">
        <v>13544.5</v>
      </c>
      <c r="R52" s="463">
        <v>70557.66</v>
      </c>
      <c r="S52" s="451">
        <f t="shared" si="33"/>
        <v>57013.16</v>
      </c>
      <c r="T52" s="221">
        <f t="shared" ref="T52:T71" si="44">IF(ISERROR(S52/Q52),"-",S52/Q52)</f>
        <v>4.2093218649636386</v>
      </c>
      <c r="U52" s="256"/>
      <c r="V52" s="450">
        <f t="shared" si="39"/>
        <v>54178.5</v>
      </c>
      <c r="W52" s="451">
        <f t="shared" si="40"/>
        <v>70557.66</v>
      </c>
      <c r="X52" s="451">
        <f t="shared" si="35"/>
        <v>16379.160000000003</v>
      </c>
      <c r="Y52" s="220">
        <f t="shared" ref="Y52:Y76" si="45">IF(ISERROR(X52/V52),"-",X52/V52)</f>
        <v>0.30231844735457797</v>
      </c>
      <c r="Z52" s="256"/>
      <c r="AA52" s="450">
        <v>54178</v>
      </c>
      <c r="AB52" s="451">
        <f>AA52-W52</f>
        <v>-16379.660000000003</v>
      </c>
      <c r="AC52" s="222">
        <f t="shared" ref="AC52:AC76" si="46">IF(ISERROR(AB52/AA52),"-",AB52/AA52)</f>
        <v>-0.30233046624090965</v>
      </c>
      <c r="AD52" s="256"/>
      <c r="AE52" s="851"/>
    </row>
    <row r="53" spans="1:31" x14ac:dyDescent="0.3">
      <c r="A53" s="190" t="s">
        <v>82</v>
      </c>
      <c r="B53" s="450">
        <v>13200</v>
      </c>
      <c r="C53" s="451">
        <v>11500</v>
      </c>
      <c r="D53" s="451">
        <f t="shared" si="27"/>
        <v>-1700</v>
      </c>
      <c r="E53" s="222">
        <f t="shared" si="41"/>
        <v>-0.12878787878787878</v>
      </c>
      <c r="F53" s="256"/>
      <c r="G53" s="450">
        <v>13200</v>
      </c>
      <c r="H53" s="451">
        <v>10650</v>
      </c>
      <c r="I53" s="451">
        <f t="shared" si="29"/>
        <v>-2550</v>
      </c>
      <c r="J53" s="223">
        <f t="shared" si="42"/>
        <v>-0.19318181818181818</v>
      </c>
      <c r="K53" s="256"/>
      <c r="L53" s="450">
        <v>13200</v>
      </c>
      <c r="M53" s="450">
        <v>15070</v>
      </c>
      <c r="N53" s="451">
        <f t="shared" si="31"/>
        <v>1870</v>
      </c>
      <c r="O53" s="220">
        <f t="shared" si="43"/>
        <v>0.14166666666666666</v>
      </c>
      <c r="P53" s="256"/>
      <c r="Q53" s="463">
        <v>13200</v>
      </c>
      <c r="R53" s="463">
        <v>13200</v>
      </c>
      <c r="S53" s="451">
        <f t="shared" si="33"/>
        <v>0</v>
      </c>
      <c r="T53" s="221">
        <f t="shared" si="44"/>
        <v>0</v>
      </c>
      <c r="U53" s="256"/>
      <c r="V53" s="450">
        <f t="shared" si="39"/>
        <v>52800</v>
      </c>
      <c r="W53" s="451">
        <f t="shared" si="40"/>
        <v>50420</v>
      </c>
      <c r="X53" s="451">
        <f t="shared" si="35"/>
        <v>-2380</v>
      </c>
      <c r="Y53" s="220">
        <f t="shared" si="45"/>
        <v>-4.5075757575757575E-2</v>
      </c>
      <c r="Z53" s="256"/>
      <c r="AA53" s="450">
        <v>52800</v>
      </c>
      <c r="AB53" s="451">
        <f>AA53-W53</f>
        <v>2380</v>
      </c>
      <c r="AC53" s="222">
        <f t="shared" si="46"/>
        <v>4.5075757575757575E-2</v>
      </c>
      <c r="AD53" s="256"/>
      <c r="AE53" s="851"/>
    </row>
    <row r="54" spans="1:31" x14ac:dyDescent="0.3">
      <c r="A54" s="190" t="s">
        <v>181</v>
      </c>
      <c r="B54" s="450">
        <v>0</v>
      </c>
      <c r="C54" s="451">
        <v>0</v>
      </c>
      <c r="D54" s="451">
        <f t="shared" si="27"/>
        <v>0</v>
      </c>
      <c r="E54" s="222" t="str">
        <f t="shared" si="41"/>
        <v>-</v>
      </c>
      <c r="F54" s="256"/>
      <c r="G54" s="450">
        <v>0</v>
      </c>
      <c r="H54" s="451">
        <v>0</v>
      </c>
      <c r="I54" s="451">
        <f t="shared" si="29"/>
        <v>0</v>
      </c>
      <c r="J54" s="223" t="str">
        <f t="shared" si="42"/>
        <v>-</v>
      </c>
      <c r="K54" s="256"/>
      <c r="L54" s="450">
        <v>0</v>
      </c>
      <c r="M54" s="450">
        <v>0</v>
      </c>
      <c r="N54" s="451">
        <f t="shared" si="31"/>
        <v>0</v>
      </c>
      <c r="O54" s="220" t="str">
        <f t="shared" si="43"/>
        <v>-</v>
      </c>
      <c r="P54" s="256"/>
      <c r="Q54" s="463">
        <v>0</v>
      </c>
      <c r="R54" s="463">
        <v>0</v>
      </c>
      <c r="S54" s="451">
        <f t="shared" si="33"/>
        <v>0</v>
      </c>
      <c r="T54" s="221" t="str">
        <f t="shared" si="44"/>
        <v>-</v>
      </c>
      <c r="U54" s="256"/>
      <c r="V54" s="450">
        <f t="shared" si="39"/>
        <v>0</v>
      </c>
      <c r="W54" s="451">
        <f t="shared" si="40"/>
        <v>0</v>
      </c>
      <c r="X54" s="451">
        <f t="shared" si="35"/>
        <v>0</v>
      </c>
      <c r="Y54" s="220" t="str">
        <f t="shared" si="45"/>
        <v>-</v>
      </c>
      <c r="Z54" s="256"/>
      <c r="AA54" s="450">
        <v>0</v>
      </c>
      <c r="AB54" s="451">
        <v>0</v>
      </c>
      <c r="AC54" s="222" t="str">
        <f t="shared" si="46"/>
        <v>-</v>
      </c>
      <c r="AD54" s="256"/>
      <c r="AE54" s="850"/>
    </row>
    <row r="55" spans="1:31" x14ac:dyDescent="0.3">
      <c r="A55" s="190" t="s">
        <v>90</v>
      </c>
      <c r="B55" s="450">
        <v>0</v>
      </c>
      <c r="C55" s="451">
        <v>0</v>
      </c>
      <c r="D55" s="451">
        <f t="shared" si="27"/>
        <v>0</v>
      </c>
      <c r="E55" s="222" t="str">
        <f t="shared" si="41"/>
        <v>-</v>
      </c>
      <c r="F55" s="256"/>
      <c r="G55" s="450">
        <v>0</v>
      </c>
      <c r="H55" s="451">
        <v>0</v>
      </c>
      <c r="I55" s="451">
        <f t="shared" si="29"/>
        <v>0</v>
      </c>
      <c r="J55" s="223" t="str">
        <f t="shared" si="42"/>
        <v>-</v>
      </c>
      <c r="K55" s="256"/>
      <c r="L55" s="450">
        <v>0</v>
      </c>
      <c r="M55" s="450">
        <v>0</v>
      </c>
      <c r="N55" s="451">
        <f t="shared" si="31"/>
        <v>0</v>
      </c>
      <c r="O55" s="294" t="str">
        <f t="shared" si="43"/>
        <v>-</v>
      </c>
      <c r="P55" s="256"/>
      <c r="Q55" s="463">
        <v>0</v>
      </c>
      <c r="R55" s="463">
        <v>0</v>
      </c>
      <c r="S55" s="451">
        <f t="shared" si="33"/>
        <v>0</v>
      </c>
      <c r="T55" s="295" t="str">
        <f t="shared" si="44"/>
        <v>-</v>
      </c>
      <c r="U55" s="256"/>
      <c r="V55" s="450">
        <f t="shared" si="39"/>
        <v>0</v>
      </c>
      <c r="W55" s="451">
        <f t="shared" si="40"/>
        <v>0</v>
      </c>
      <c r="X55" s="451">
        <f t="shared" si="35"/>
        <v>0</v>
      </c>
      <c r="Y55" s="294" t="str">
        <f t="shared" si="45"/>
        <v>-</v>
      </c>
      <c r="Z55" s="256"/>
      <c r="AA55" s="450">
        <v>5000</v>
      </c>
      <c r="AB55" s="451">
        <f t="shared" ref="AB55:AB75" si="47">AA55-W55</f>
        <v>5000</v>
      </c>
      <c r="AC55" s="222">
        <f t="shared" si="46"/>
        <v>1</v>
      </c>
      <c r="AD55" s="256"/>
      <c r="AE55" s="850"/>
    </row>
    <row r="56" spans="1:31" x14ac:dyDescent="0.3">
      <c r="A56" s="190" t="s">
        <v>91</v>
      </c>
      <c r="B56" s="450">
        <v>1250</v>
      </c>
      <c r="C56" s="451">
        <v>0</v>
      </c>
      <c r="D56" s="451">
        <f t="shared" si="27"/>
        <v>-1250</v>
      </c>
      <c r="E56" s="222">
        <f t="shared" si="41"/>
        <v>-1</v>
      </c>
      <c r="F56" s="256"/>
      <c r="G56" s="450">
        <v>1250</v>
      </c>
      <c r="H56" s="451">
        <v>0</v>
      </c>
      <c r="I56" s="451">
        <f t="shared" si="29"/>
        <v>-1250</v>
      </c>
      <c r="J56" s="223">
        <f t="shared" si="42"/>
        <v>-1</v>
      </c>
      <c r="K56" s="256"/>
      <c r="L56" s="450">
        <v>1250</v>
      </c>
      <c r="M56" s="450">
        <v>0</v>
      </c>
      <c r="N56" s="451">
        <f t="shared" si="31"/>
        <v>-1250</v>
      </c>
      <c r="O56" s="294">
        <f t="shared" si="43"/>
        <v>-1</v>
      </c>
      <c r="P56" s="256"/>
      <c r="Q56" s="463">
        <v>1250</v>
      </c>
      <c r="R56" s="463">
        <v>847.39</v>
      </c>
      <c r="S56" s="451">
        <f t="shared" si="33"/>
        <v>-402.61</v>
      </c>
      <c r="T56" s="295">
        <f t="shared" si="44"/>
        <v>-0.32208799999999999</v>
      </c>
      <c r="U56" s="256"/>
      <c r="V56" s="450">
        <f t="shared" si="39"/>
        <v>5000</v>
      </c>
      <c r="W56" s="451">
        <f t="shared" si="40"/>
        <v>847.39</v>
      </c>
      <c r="X56" s="451">
        <f t="shared" si="35"/>
        <v>-4152.6099999999997</v>
      </c>
      <c r="Y56" s="294">
        <f t="shared" si="45"/>
        <v>-0.83052199999999998</v>
      </c>
      <c r="Z56" s="256"/>
      <c r="AA56" s="450">
        <v>0</v>
      </c>
      <c r="AB56" s="451">
        <f t="shared" si="47"/>
        <v>-847.39</v>
      </c>
      <c r="AC56" s="222" t="str">
        <f t="shared" si="46"/>
        <v>-</v>
      </c>
      <c r="AD56" s="256"/>
      <c r="AE56" s="851"/>
    </row>
    <row r="57" spans="1:31" x14ac:dyDescent="0.3">
      <c r="A57" s="190" t="s">
        <v>92</v>
      </c>
      <c r="B57" s="450">
        <v>0</v>
      </c>
      <c r="C57" s="451">
        <v>0</v>
      </c>
      <c r="D57" s="451">
        <f t="shared" si="27"/>
        <v>0</v>
      </c>
      <c r="E57" s="222" t="str">
        <f t="shared" si="41"/>
        <v>-</v>
      </c>
      <c r="F57" s="256"/>
      <c r="G57" s="450">
        <v>0</v>
      </c>
      <c r="H57" s="451">
        <v>0</v>
      </c>
      <c r="I57" s="451">
        <f t="shared" si="29"/>
        <v>0</v>
      </c>
      <c r="J57" s="223" t="str">
        <f t="shared" si="42"/>
        <v>-</v>
      </c>
      <c r="K57" s="256"/>
      <c r="L57" s="450">
        <v>0</v>
      </c>
      <c r="M57" s="450">
        <v>0</v>
      </c>
      <c r="N57" s="451">
        <f t="shared" si="31"/>
        <v>0</v>
      </c>
      <c r="O57" s="220" t="str">
        <f t="shared" si="43"/>
        <v>-</v>
      </c>
      <c r="P57" s="256"/>
      <c r="Q57" s="463">
        <v>0</v>
      </c>
      <c r="R57" s="463">
        <v>0</v>
      </c>
      <c r="S57" s="451">
        <f t="shared" si="33"/>
        <v>0</v>
      </c>
      <c r="T57" s="221" t="str">
        <f t="shared" si="44"/>
        <v>-</v>
      </c>
      <c r="U57" s="256"/>
      <c r="V57" s="450">
        <f t="shared" si="39"/>
        <v>0</v>
      </c>
      <c r="W57" s="451">
        <f t="shared" si="40"/>
        <v>0</v>
      </c>
      <c r="X57" s="451">
        <f t="shared" si="35"/>
        <v>0</v>
      </c>
      <c r="Y57" s="220" t="str">
        <f t="shared" si="45"/>
        <v>-</v>
      </c>
      <c r="Z57" s="256"/>
      <c r="AA57" s="450">
        <v>5000</v>
      </c>
      <c r="AB57" s="451">
        <f t="shared" si="47"/>
        <v>5000</v>
      </c>
      <c r="AC57" s="222">
        <f t="shared" si="46"/>
        <v>1</v>
      </c>
      <c r="AD57" s="256"/>
      <c r="AE57" s="851"/>
    </row>
    <row r="58" spans="1:31" x14ac:dyDescent="0.3">
      <c r="A58" s="190" t="s">
        <v>93</v>
      </c>
      <c r="B58" s="450">
        <v>1250</v>
      </c>
      <c r="C58" s="451">
        <v>0</v>
      </c>
      <c r="D58" s="451">
        <f t="shared" si="27"/>
        <v>-1250</v>
      </c>
      <c r="E58" s="222">
        <f t="shared" si="41"/>
        <v>-1</v>
      </c>
      <c r="F58" s="256"/>
      <c r="G58" s="450">
        <v>1250</v>
      </c>
      <c r="H58" s="451">
        <v>0</v>
      </c>
      <c r="I58" s="451">
        <f t="shared" si="29"/>
        <v>-1250</v>
      </c>
      <c r="J58" s="223">
        <f t="shared" si="42"/>
        <v>-1</v>
      </c>
      <c r="K58" s="256"/>
      <c r="L58" s="450">
        <v>1250</v>
      </c>
      <c r="M58" s="450">
        <v>0</v>
      </c>
      <c r="N58" s="451">
        <f t="shared" si="31"/>
        <v>-1250</v>
      </c>
      <c r="O58" s="220">
        <f t="shared" si="43"/>
        <v>-1</v>
      </c>
      <c r="P58" s="256"/>
      <c r="Q58" s="463">
        <v>1250</v>
      </c>
      <c r="R58" s="463">
        <v>0</v>
      </c>
      <c r="S58" s="451">
        <f t="shared" si="33"/>
        <v>-1250</v>
      </c>
      <c r="T58" s="221">
        <f t="shared" si="44"/>
        <v>-1</v>
      </c>
      <c r="U58" s="256"/>
      <c r="V58" s="450">
        <f t="shared" si="39"/>
        <v>5000</v>
      </c>
      <c r="W58" s="451">
        <f t="shared" si="40"/>
        <v>0</v>
      </c>
      <c r="X58" s="451">
        <f t="shared" si="35"/>
        <v>-5000</v>
      </c>
      <c r="Y58" s="220">
        <f t="shared" si="45"/>
        <v>-1</v>
      </c>
      <c r="Z58" s="256"/>
      <c r="AA58" s="450">
        <v>3000</v>
      </c>
      <c r="AB58" s="451">
        <f t="shared" si="47"/>
        <v>3000</v>
      </c>
      <c r="AC58" s="222">
        <f t="shared" si="46"/>
        <v>1</v>
      </c>
      <c r="AD58" s="191"/>
      <c r="AE58" s="851"/>
    </row>
    <row r="59" spans="1:31" x14ac:dyDescent="0.3">
      <c r="A59" s="190" t="s">
        <v>94</v>
      </c>
      <c r="B59" s="450">
        <v>750</v>
      </c>
      <c r="C59" s="451">
        <v>761.4</v>
      </c>
      <c r="D59" s="451">
        <f t="shared" si="27"/>
        <v>11.399999999999977</v>
      </c>
      <c r="E59" s="222">
        <f t="shared" si="41"/>
        <v>1.519999999999997E-2</v>
      </c>
      <c r="F59" s="191"/>
      <c r="G59" s="450">
        <v>750</v>
      </c>
      <c r="H59" s="451">
        <v>802.82</v>
      </c>
      <c r="I59" s="451">
        <f t="shared" si="29"/>
        <v>52.82000000000005</v>
      </c>
      <c r="J59" s="223">
        <f t="shared" si="42"/>
        <v>7.0426666666666735E-2</v>
      </c>
      <c r="K59" s="191"/>
      <c r="L59" s="450">
        <v>750</v>
      </c>
      <c r="M59" s="450">
        <v>448</v>
      </c>
      <c r="N59" s="451">
        <f t="shared" si="31"/>
        <v>-302</v>
      </c>
      <c r="O59" s="220">
        <f t="shared" si="43"/>
        <v>-0.40266666666666667</v>
      </c>
      <c r="P59" s="191"/>
      <c r="Q59" s="463">
        <v>750</v>
      </c>
      <c r="R59" s="463">
        <v>741.75</v>
      </c>
      <c r="S59" s="451">
        <f t="shared" si="33"/>
        <v>-8.25</v>
      </c>
      <c r="T59" s="221">
        <f t="shared" si="44"/>
        <v>-1.0999999999999999E-2</v>
      </c>
      <c r="U59" s="191"/>
      <c r="V59" s="450">
        <f t="shared" si="39"/>
        <v>3000</v>
      </c>
      <c r="W59" s="451">
        <f t="shared" si="40"/>
        <v>2753.9700000000003</v>
      </c>
      <c r="X59" s="451">
        <f t="shared" si="35"/>
        <v>-246.02999999999975</v>
      </c>
      <c r="Y59" s="220">
        <f t="shared" si="45"/>
        <v>-8.2009999999999916E-2</v>
      </c>
      <c r="Z59" s="191"/>
      <c r="AA59" s="450">
        <v>3500</v>
      </c>
      <c r="AB59" s="451">
        <f t="shared" si="47"/>
        <v>746.02999999999975</v>
      </c>
      <c r="AC59" s="222">
        <f t="shared" si="46"/>
        <v>0.21315142857142849</v>
      </c>
      <c r="AD59" s="191"/>
      <c r="AE59" s="851"/>
    </row>
    <row r="60" spans="1:31" x14ac:dyDescent="0.3">
      <c r="A60" s="190" t="s">
        <v>95</v>
      </c>
      <c r="B60" s="450">
        <v>875</v>
      </c>
      <c r="C60" s="451">
        <v>0</v>
      </c>
      <c r="D60" s="451">
        <f t="shared" si="27"/>
        <v>-875</v>
      </c>
      <c r="E60" s="222">
        <f t="shared" si="41"/>
        <v>-1</v>
      </c>
      <c r="F60" s="191"/>
      <c r="G60" s="450">
        <v>875</v>
      </c>
      <c r="H60" s="451">
        <v>400.74</v>
      </c>
      <c r="I60" s="451">
        <f t="shared" si="29"/>
        <v>-474.26</v>
      </c>
      <c r="J60" s="223">
        <f t="shared" si="42"/>
        <v>-0.54201142857142859</v>
      </c>
      <c r="K60" s="191"/>
      <c r="L60" s="450">
        <v>875</v>
      </c>
      <c r="M60" s="450">
        <v>0</v>
      </c>
      <c r="N60" s="451">
        <f t="shared" si="31"/>
        <v>-875</v>
      </c>
      <c r="O60" s="220">
        <f t="shared" si="43"/>
        <v>-1</v>
      </c>
      <c r="P60" s="191"/>
      <c r="Q60" s="463">
        <v>875</v>
      </c>
      <c r="R60" s="463">
        <v>0</v>
      </c>
      <c r="S60" s="451">
        <f t="shared" si="33"/>
        <v>-875</v>
      </c>
      <c r="T60" s="221">
        <f t="shared" si="44"/>
        <v>-1</v>
      </c>
      <c r="U60" s="191"/>
      <c r="V60" s="450">
        <f t="shared" si="39"/>
        <v>3500</v>
      </c>
      <c r="W60" s="451">
        <f t="shared" si="40"/>
        <v>400.74</v>
      </c>
      <c r="X60" s="451">
        <f t="shared" si="35"/>
        <v>-3099.26</v>
      </c>
      <c r="Y60" s="220">
        <f t="shared" si="45"/>
        <v>-0.88550285714285726</v>
      </c>
      <c r="Z60" s="191"/>
      <c r="AA60" s="450">
        <v>9000</v>
      </c>
      <c r="AB60" s="451">
        <f t="shared" si="47"/>
        <v>8599.26</v>
      </c>
      <c r="AC60" s="222">
        <f t="shared" si="46"/>
        <v>0.9554733333333334</v>
      </c>
      <c r="AD60" s="191"/>
      <c r="AE60" s="851"/>
    </row>
    <row r="61" spans="1:31" x14ac:dyDescent="0.3">
      <c r="A61" s="190" t="s">
        <v>96</v>
      </c>
      <c r="B61" s="450">
        <v>2250</v>
      </c>
      <c r="C61" s="451">
        <v>3213.67</v>
      </c>
      <c r="D61" s="451">
        <f t="shared" si="27"/>
        <v>963.67000000000007</v>
      </c>
      <c r="E61" s="222">
        <f t="shared" si="41"/>
        <v>0.42829777777777783</v>
      </c>
      <c r="F61" s="191"/>
      <c r="G61" s="450">
        <v>2250</v>
      </c>
      <c r="H61" s="451">
        <v>3373.92</v>
      </c>
      <c r="I61" s="451">
        <f t="shared" si="29"/>
        <v>1123.92</v>
      </c>
      <c r="J61" s="223">
        <f t="shared" si="42"/>
        <v>0.49952000000000002</v>
      </c>
      <c r="K61" s="191"/>
      <c r="L61" s="450">
        <v>2250</v>
      </c>
      <c r="M61" s="450">
        <v>2888</v>
      </c>
      <c r="N61" s="451">
        <f t="shared" si="31"/>
        <v>638</v>
      </c>
      <c r="O61" s="220">
        <f t="shared" si="43"/>
        <v>0.28355555555555556</v>
      </c>
      <c r="P61" s="191"/>
      <c r="Q61" s="463">
        <v>2250</v>
      </c>
      <c r="R61" s="463">
        <v>8070.63</v>
      </c>
      <c r="S61" s="451">
        <f t="shared" si="33"/>
        <v>5820.63</v>
      </c>
      <c r="T61" s="221">
        <f t="shared" si="44"/>
        <v>2.5869466666666665</v>
      </c>
      <c r="U61" s="191"/>
      <c r="V61" s="450">
        <f t="shared" si="39"/>
        <v>9000</v>
      </c>
      <c r="W61" s="451">
        <f t="shared" si="40"/>
        <v>17546.22</v>
      </c>
      <c r="X61" s="451">
        <f t="shared" si="35"/>
        <v>8546.2200000000012</v>
      </c>
      <c r="Y61" s="220">
        <f t="shared" si="45"/>
        <v>0.94958000000000009</v>
      </c>
      <c r="Z61" s="191"/>
      <c r="AA61" s="450">
        <v>8000</v>
      </c>
      <c r="AB61" s="451">
        <f t="shared" si="47"/>
        <v>-9546.2200000000012</v>
      </c>
      <c r="AC61" s="222">
        <f t="shared" si="46"/>
        <v>-1.1932775000000002</v>
      </c>
      <c r="AD61" s="191"/>
      <c r="AE61" s="851"/>
    </row>
    <row r="62" spans="1:31" x14ac:dyDescent="0.3">
      <c r="A62" s="190" t="s">
        <v>110</v>
      </c>
      <c r="B62" s="450">
        <v>2000</v>
      </c>
      <c r="C62" s="451">
        <v>1594.26</v>
      </c>
      <c r="D62" s="451">
        <f t="shared" si="27"/>
        <v>-405.74</v>
      </c>
      <c r="E62" s="222">
        <f t="shared" si="41"/>
        <v>-0.20286999999999999</v>
      </c>
      <c r="F62" s="191"/>
      <c r="G62" s="450">
        <v>2000</v>
      </c>
      <c r="H62" s="451">
        <v>80.94</v>
      </c>
      <c r="I62" s="451">
        <f t="shared" si="29"/>
        <v>-1919.06</v>
      </c>
      <c r="J62" s="223">
        <f t="shared" si="42"/>
        <v>-0.95952999999999999</v>
      </c>
      <c r="K62" s="191"/>
      <c r="L62" s="450">
        <v>2000</v>
      </c>
      <c r="M62" s="450">
        <v>1036</v>
      </c>
      <c r="N62" s="451">
        <f t="shared" si="31"/>
        <v>-964</v>
      </c>
      <c r="O62" s="220">
        <f t="shared" si="43"/>
        <v>-0.48199999999999998</v>
      </c>
      <c r="P62" s="191"/>
      <c r="Q62" s="463">
        <v>2000</v>
      </c>
      <c r="R62" s="463">
        <v>1456.47</v>
      </c>
      <c r="S62" s="451">
        <f t="shared" si="33"/>
        <v>-543.53</v>
      </c>
      <c r="T62" s="221">
        <f t="shared" si="44"/>
        <v>-0.27176499999999998</v>
      </c>
      <c r="U62" s="191"/>
      <c r="V62" s="450">
        <f t="shared" si="39"/>
        <v>8000</v>
      </c>
      <c r="W62" s="451">
        <f t="shared" si="40"/>
        <v>4167.67</v>
      </c>
      <c r="X62" s="451">
        <f t="shared" si="35"/>
        <v>-3832.33</v>
      </c>
      <c r="Y62" s="220">
        <f t="shared" si="45"/>
        <v>-0.47904124999999997</v>
      </c>
      <c r="Z62" s="191"/>
      <c r="AA62" s="450">
        <v>0</v>
      </c>
      <c r="AB62" s="451">
        <f t="shared" si="47"/>
        <v>-4167.67</v>
      </c>
      <c r="AC62" s="222" t="str">
        <f t="shared" si="46"/>
        <v>-</v>
      </c>
      <c r="AD62" s="256"/>
      <c r="AE62" s="851"/>
    </row>
    <row r="63" spans="1:31" x14ac:dyDescent="0.3">
      <c r="A63" s="190" t="s">
        <v>124</v>
      </c>
      <c r="B63" s="450">
        <v>0</v>
      </c>
      <c r="C63" s="451">
        <v>0</v>
      </c>
      <c r="D63" s="451">
        <f t="shared" si="27"/>
        <v>0</v>
      </c>
      <c r="E63" s="222" t="str">
        <f t="shared" si="41"/>
        <v>-</v>
      </c>
      <c r="F63" s="256"/>
      <c r="G63" s="450">
        <v>0</v>
      </c>
      <c r="H63" s="451">
        <v>0</v>
      </c>
      <c r="I63" s="451">
        <f t="shared" si="29"/>
        <v>0</v>
      </c>
      <c r="J63" s="223" t="str">
        <f t="shared" si="42"/>
        <v>-</v>
      </c>
      <c r="K63" s="256"/>
      <c r="L63" s="450">
        <v>0</v>
      </c>
      <c r="M63" s="450">
        <v>0</v>
      </c>
      <c r="N63" s="451">
        <f t="shared" si="31"/>
        <v>0</v>
      </c>
      <c r="O63" s="220" t="str">
        <f t="shared" si="43"/>
        <v>-</v>
      </c>
      <c r="P63" s="256"/>
      <c r="Q63" s="463">
        <v>0</v>
      </c>
      <c r="R63" s="463">
        <v>0</v>
      </c>
      <c r="S63" s="451">
        <f t="shared" si="33"/>
        <v>0</v>
      </c>
      <c r="T63" s="221" t="str">
        <f t="shared" si="44"/>
        <v>-</v>
      </c>
      <c r="U63" s="256"/>
      <c r="V63" s="450">
        <f t="shared" si="39"/>
        <v>0</v>
      </c>
      <c r="W63" s="451">
        <f t="shared" si="40"/>
        <v>0</v>
      </c>
      <c r="X63" s="451">
        <f t="shared" si="35"/>
        <v>0</v>
      </c>
      <c r="Y63" s="220" t="str">
        <f t="shared" si="45"/>
        <v>-</v>
      </c>
      <c r="Z63" s="256"/>
      <c r="AA63" s="450">
        <v>8175000</v>
      </c>
      <c r="AB63" s="451">
        <f t="shared" si="47"/>
        <v>8175000</v>
      </c>
      <c r="AC63" s="222">
        <f t="shared" si="46"/>
        <v>1</v>
      </c>
      <c r="AD63" s="256"/>
      <c r="AE63" s="850"/>
    </row>
    <row r="64" spans="1:31" x14ac:dyDescent="0.3">
      <c r="A64" s="190" t="s">
        <v>180</v>
      </c>
      <c r="B64" s="450">
        <v>2043750</v>
      </c>
      <c r="C64" s="451">
        <v>2781018.81</v>
      </c>
      <c r="D64" s="451">
        <f t="shared" si="27"/>
        <v>737268.81</v>
      </c>
      <c r="E64" s="222">
        <f t="shared" si="41"/>
        <v>0.36074314862385326</v>
      </c>
      <c r="F64" s="256"/>
      <c r="G64" s="450">
        <v>2043750</v>
      </c>
      <c r="H64" s="451">
        <v>2285231.37</v>
      </c>
      <c r="I64" s="451">
        <f t="shared" si="29"/>
        <v>241481.37000000011</v>
      </c>
      <c r="J64" s="223">
        <f t="shared" si="42"/>
        <v>0.11815602201834868</v>
      </c>
      <c r="K64" s="256"/>
      <c r="L64" s="450">
        <v>2043750</v>
      </c>
      <c r="M64" s="450">
        <v>2845991</v>
      </c>
      <c r="N64" s="451">
        <f t="shared" si="31"/>
        <v>802241</v>
      </c>
      <c r="O64" s="294">
        <f t="shared" si="43"/>
        <v>0.39253382262996944</v>
      </c>
      <c r="P64" s="256"/>
      <c r="Q64" s="463">
        <v>2043750</v>
      </c>
      <c r="R64" s="463">
        <v>2382820.5699999998</v>
      </c>
      <c r="S64" s="451">
        <f t="shared" si="33"/>
        <v>339070.56999999983</v>
      </c>
      <c r="T64" s="295">
        <f t="shared" si="44"/>
        <v>0.165906089296636</v>
      </c>
      <c r="U64" s="256"/>
      <c r="V64" s="450">
        <f t="shared" si="39"/>
        <v>8175000</v>
      </c>
      <c r="W64" s="451">
        <f t="shared" si="40"/>
        <v>10295061.75</v>
      </c>
      <c r="X64" s="451">
        <f t="shared" si="35"/>
        <v>2120061.75</v>
      </c>
      <c r="Y64" s="294">
        <f t="shared" si="45"/>
        <v>0.25933477064220184</v>
      </c>
      <c r="Z64" s="256"/>
      <c r="AA64" s="450">
        <v>51452</v>
      </c>
      <c r="AB64" s="451">
        <f t="shared" si="47"/>
        <v>-10243609.75</v>
      </c>
      <c r="AC64" s="222">
        <f t="shared" si="46"/>
        <v>-199.09060386379539</v>
      </c>
      <c r="AD64" s="256"/>
      <c r="AE64" s="851"/>
    </row>
    <row r="65" spans="1:31" x14ac:dyDescent="0.3">
      <c r="A65" s="190" t="s">
        <v>122</v>
      </c>
      <c r="B65" s="450">
        <v>12862.91</v>
      </c>
      <c r="C65" s="451">
        <v>0</v>
      </c>
      <c r="D65" s="451">
        <f t="shared" si="27"/>
        <v>-12862.91</v>
      </c>
      <c r="E65" s="222">
        <f t="shared" si="41"/>
        <v>-1</v>
      </c>
      <c r="F65" s="256"/>
      <c r="G65" s="450">
        <v>12862.91</v>
      </c>
      <c r="H65" s="451">
        <v>12693.3</v>
      </c>
      <c r="I65" s="451">
        <f t="shared" si="29"/>
        <v>-169.61000000000058</v>
      </c>
      <c r="J65" s="223">
        <f t="shared" si="42"/>
        <v>-1.3185974246885081E-2</v>
      </c>
      <c r="K65" s="256"/>
      <c r="L65" s="450">
        <v>12863</v>
      </c>
      <c r="M65" s="450">
        <v>0</v>
      </c>
      <c r="N65" s="451">
        <f t="shared" si="31"/>
        <v>-12863</v>
      </c>
      <c r="O65" s="220">
        <f t="shared" si="43"/>
        <v>-1</v>
      </c>
      <c r="P65" s="256"/>
      <c r="Q65" s="463">
        <v>12862.91</v>
      </c>
      <c r="R65" s="463">
        <v>1514.2</v>
      </c>
      <c r="S65" s="451">
        <f t="shared" si="33"/>
        <v>-11348.71</v>
      </c>
      <c r="T65" s="221">
        <f t="shared" si="44"/>
        <v>-0.88228169208989249</v>
      </c>
      <c r="U65" s="256"/>
      <c r="V65" s="450">
        <f t="shared" si="39"/>
        <v>51451.729999999996</v>
      </c>
      <c r="W65" s="451">
        <f t="shared" si="40"/>
        <v>14207.5</v>
      </c>
      <c r="X65" s="451">
        <f t="shared" si="35"/>
        <v>-37244.229999999996</v>
      </c>
      <c r="Y65" s="220">
        <f t="shared" si="45"/>
        <v>-0.72386739959958579</v>
      </c>
      <c r="Z65" s="256"/>
      <c r="AA65" s="450">
        <v>0</v>
      </c>
      <c r="AB65" s="451">
        <f t="shared" si="47"/>
        <v>-14207.5</v>
      </c>
      <c r="AC65" s="222" t="str">
        <f t="shared" si="46"/>
        <v>-</v>
      </c>
      <c r="AD65" s="191"/>
      <c r="AE65" s="850"/>
    </row>
    <row r="66" spans="1:31" x14ac:dyDescent="0.3">
      <c r="A66" s="190" t="s">
        <v>114</v>
      </c>
      <c r="B66" s="450">
        <v>0</v>
      </c>
      <c r="C66" s="451">
        <v>0</v>
      </c>
      <c r="D66" s="451">
        <f t="shared" si="27"/>
        <v>0</v>
      </c>
      <c r="E66" s="222" t="str">
        <f t="shared" si="41"/>
        <v>-</v>
      </c>
      <c r="F66" s="191"/>
      <c r="G66" s="450">
        <v>0</v>
      </c>
      <c r="H66" s="451">
        <v>0</v>
      </c>
      <c r="I66" s="451">
        <f t="shared" si="29"/>
        <v>0</v>
      </c>
      <c r="J66" s="223" t="str">
        <f t="shared" si="42"/>
        <v>-</v>
      </c>
      <c r="K66" s="191"/>
      <c r="L66" s="450">
        <v>0</v>
      </c>
      <c r="M66" s="450">
        <v>0</v>
      </c>
      <c r="N66" s="451">
        <f t="shared" si="31"/>
        <v>0</v>
      </c>
      <c r="O66" s="294" t="str">
        <f t="shared" si="43"/>
        <v>-</v>
      </c>
      <c r="P66" s="191"/>
      <c r="Q66" s="463">
        <v>0</v>
      </c>
      <c r="R66" s="463">
        <v>0</v>
      </c>
      <c r="S66" s="451">
        <f t="shared" si="33"/>
        <v>0</v>
      </c>
      <c r="T66" s="295" t="str">
        <f t="shared" si="44"/>
        <v>-</v>
      </c>
      <c r="U66" s="191"/>
      <c r="V66" s="450">
        <f t="shared" si="39"/>
        <v>0</v>
      </c>
      <c r="W66" s="451">
        <f t="shared" si="40"/>
        <v>0</v>
      </c>
      <c r="X66" s="451">
        <f t="shared" si="35"/>
        <v>0</v>
      </c>
      <c r="Y66" s="294" t="str">
        <f t="shared" si="45"/>
        <v>-</v>
      </c>
      <c r="Z66" s="191"/>
      <c r="AA66" s="450">
        <v>35256</v>
      </c>
      <c r="AB66" s="451">
        <f t="shared" si="47"/>
        <v>35256</v>
      </c>
      <c r="AC66" s="222">
        <f t="shared" si="46"/>
        <v>1</v>
      </c>
      <c r="AD66" s="256"/>
      <c r="AE66" s="850"/>
    </row>
    <row r="67" spans="1:31" x14ac:dyDescent="0.3">
      <c r="A67" s="190" t="s">
        <v>115</v>
      </c>
      <c r="B67" s="450">
        <v>8814</v>
      </c>
      <c r="C67" s="451">
        <v>8814</v>
      </c>
      <c r="D67" s="451">
        <f t="shared" si="27"/>
        <v>0</v>
      </c>
      <c r="E67" s="222">
        <f t="shared" si="41"/>
        <v>0</v>
      </c>
      <c r="F67" s="256"/>
      <c r="G67" s="450">
        <v>8814</v>
      </c>
      <c r="H67" s="451">
        <v>8814</v>
      </c>
      <c r="I67" s="451">
        <f t="shared" si="29"/>
        <v>0</v>
      </c>
      <c r="J67" s="223">
        <f t="shared" si="42"/>
        <v>0</v>
      </c>
      <c r="K67" s="256"/>
      <c r="L67" s="450">
        <v>8814</v>
      </c>
      <c r="M67" s="450">
        <v>5876</v>
      </c>
      <c r="N67" s="451">
        <f t="shared" si="31"/>
        <v>-2938</v>
      </c>
      <c r="O67" s="294">
        <f t="shared" si="43"/>
        <v>-0.33333333333333331</v>
      </c>
      <c r="P67" s="256"/>
      <c r="Q67" s="463">
        <v>8814</v>
      </c>
      <c r="R67" s="463">
        <v>11752</v>
      </c>
      <c r="S67" s="451">
        <f t="shared" si="33"/>
        <v>2938</v>
      </c>
      <c r="T67" s="295">
        <f t="shared" si="44"/>
        <v>0.33333333333333331</v>
      </c>
      <c r="U67" s="256"/>
      <c r="V67" s="450">
        <f t="shared" si="39"/>
        <v>35256</v>
      </c>
      <c r="W67" s="451">
        <f t="shared" si="40"/>
        <v>35256</v>
      </c>
      <c r="X67" s="451">
        <f t="shared" si="35"/>
        <v>0</v>
      </c>
      <c r="Y67" s="294">
        <f t="shared" si="45"/>
        <v>0</v>
      </c>
      <c r="Z67" s="256"/>
      <c r="AA67" s="450">
        <v>0</v>
      </c>
      <c r="AB67" s="451">
        <f t="shared" si="47"/>
        <v>-35256</v>
      </c>
      <c r="AC67" s="222" t="str">
        <f t="shared" si="46"/>
        <v>-</v>
      </c>
      <c r="AD67" s="256"/>
      <c r="AE67" s="851"/>
    </row>
    <row r="68" spans="1:31" x14ac:dyDescent="0.3">
      <c r="A68" s="190" t="s">
        <v>121</v>
      </c>
      <c r="B68" s="450">
        <v>0</v>
      </c>
      <c r="C68" s="451">
        <v>0</v>
      </c>
      <c r="D68" s="451">
        <f t="shared" si="27"/>
        <v>0</v>
      </c>
      <c r="E68" s="222" t="str">
        <f t="shared" si="41"/>
        <v>-</v>
      </c>
      <c r="F68" s="256"/>
      <c r="G68" s="450">
        <v>0</v>
      </c>
      <c r="H68" s="451">
        <v>0</v>
      </c>
      <c r="I68" s="451">
        <f t="shared" si="29"/>
        <v>0</v>
      </c>
      <c r="J68" s="223" t="str">
        <f t="shared" si="42"/>
        <v>-</v>
      </c>
      <c r="K68" s="256"/>
      <c r="L68" s="450">
        <v>0</v>
      </c>
      <c r="M68" s="450">
        <v>0</v>
      </c>
      <c r="N68" s="451">
        <f t="shared" si="31"/>
        <v>0</v>
      </c>
      <c r="O68" s="220" t="str">
        <f t="shared" si="43"/>
        <v>-</v>
      </c>
      <c r="P68" s="256"/>
      <c r="Q68" s="463">
        <v>0</v>
      </c>
      <c r="R68" s="463">
        <v>0</v>
      </c>
      <c r="S68" s="451">
        <f t="shared" si="33"/>
        <v>0</v>
      </c>
      <c r="T68" s="221" t="str">
        <f t="shared" si="44"/>
        <v>-</v>
      </c>
      <c r="U68" s="256"/>
      <c r="V68" s="450">
        <f t="shared" si="39"/>
        <v>0</v>
      </c>
      <c r="W68" s="451">
        <f t="shared" si="40"/>
        <v>0</v>
      </c>
      <c r="X68" s="451">
        <f t="shared" si="35"/>
        <v>0</v>
      </c>
      <c r="Y68" s="220" t="str">
        <f t="shared" si="45"/>
        <v>-</v>
      </c>
      <c r="Z68" s="256"/>
      <c r="AA68" s="450">
        <v>0</v>
      </c>
      <c r="AB68" s="451">
        <f t="shared" si="47"/>
        <v>0</v>
      </c>
      <c r="AC68" s="222" t="str">
        <f t="shared" si="46"/>
        <v>-</v>
      </c>
      <c r="AD68" s="191"/>
      <c r="AE68" s="851"/>
    </row>
    <row r="69" spans="1:31" x14ac:dyDescent="0.3">
      <c r="A69" s="190" t="s">
        <v>97</v>
      </c>
      <c r="B69" s="450">
        <v>0</v>
      </c>
      <c r="C69" s="451">
        <v>0</v>
      </c>
      <c r="D69" s="451">
        <f t="shared" si="27"/>
        <v>0</v>
      </c>
      <c r="E69" s="222" t="str">
        <f t="shared" si="41"/>
        <v>-</v>
      </c>
      <c r="F69" s="191"/>
      <c r="G69" s="450">
        <v>0</v>
      </c>
      <c r="H69" s="451">
        <v>0</v>
      </c>
      <c r="I69" s="451">
        <f t="shared" si="29"/>
        <v>0</v>
      </c>
      <c r="J69" s="223" t="str">
        <f t="shared" si="42"/>
        <v>-</v>
      </c>
      <c r="K69" s="191"/>
      <c r="L69" s="450">
        <v>0</v>
      </c>
      <c r="M69" s="450">
        <v>0</v>
      </c>
      <c r="N69" s="451">
        <f t="shared" si="31"/>
        <v>0</v>
      </c>
      <c r="O69" s="220" t="str">
        <f t="shared" si="43"/>
        <v>-</v>
      </c>
      <c r="P69" s="191"/>
      <c r="Q69" s="463">
        <v>0</v>
      </c>
      <c r="R69" s="463">
        <v>0</v>
      </c>
      <c r="S69" s="451">
        <f t="shared" si="33"/>
        <v>0</v>
      </c>
      <c r="T69" s="221" t="str">
        <f t="shared" si="44"/>
        <v>-</v>
      </c>
      <c r="U69" s="191"/>
      <c r="V69" s="450">
        <f t="shared" si="39"/>
        <v>0</v>
      </c>
      <c r="W69" s="451">
        <f t="shared" si="40"/>
        <v>0</v>
      </c>
      <c r="X69" s="451">
        <f t="shared" si="35"/>
        <v>0</v>
      </c>
      <c r="Y69" s="220" t="str">
        <f t="shared" si="45"/>
        <v>-</v>
      </c>
      <c r="Z69" s="191"/>
      <c r="AA69" s="450">
        <v>0</v>
      </c>
      <c r="AB69" s="451">
        <f t="shared" si="47"/>
        <v>0</v>
      </c>
      <c r="AC69" s="222" t="str">
        <f t="shared" si="46"/>
        <v>-</v>
      </c>
      <c r="AD69" s="256"/>
      <c r="AE69" s="851"/>
    </row>
    <row r="70" spans="1:31" x14ac:dyDescent="0.3">
      <c r="A70" s="190" t="s">
        <v>98</v>
      </c>
      <c r="B70" s="450">
        <v>0</v>
      </c>
      <c r="C70" s="451">
        <v>0</v>
      </c>
      <c r="D70" s="451">
        <f t="shared" si="27"/>
        <v>0</v>
      </c>
      <c r="E70" s="222" t="str">
        <f t="shared" si="41"/>
        <v>-</v>
      </c>
      <c r="F70" s="256"/>
      <c r="G70" s="450">
        <v>0</v>
      </c>
      <c r="H70" s="451">
        <v>0</v>
      </c>
      <c r="I70" s="451">
        <f t="shared" si="29"/>
        <v>0</v>
      </c>
      <c r="J70" s="223" t="str">
        <f t="shared" si="42"/>
        <v>-</v>
      </c>
      <c r="K70" s="256"/>
      <c r="L70" s="450">
        <v>0</v>
      </c>
      <c r="M70" s="450">
        <v>0</v>
      </c>
      <c r="N70" s="451">
        <f t="shared" si="31"/>
        <v>0</v>
      </c>
      <c r="O70" s="220" t="str">
        <f t="shared" si="43"/>
        <v>-</v>
      </c>
      <c r="P70" s="256"/>
      <c r="Q70" s="463">
        <v>0</v>
      </c>
      <c r="R70" s="463">
        <v>0</v>
      </c>
      <c r="S70" s="451">
        <f t="shared" si="33"/>
        <v>0</v>
      </c>
      <c r="T70" s="221" t="str">
        <f t="shared" si="44"/>
        <v>-</v>
      </c>
      <c r="U70" s="256"/>
      <c r="V70" s="450">
        <f t="shared" si="39"/>
        <v>0</v>
      </c>
      <c r="W70" s="451">
        <f t="shared" si="40"/>
        <v>0</v>
      </c>
      <c r="X70" s="451">
        <f t="shared" si="35"/>
        <v>0</v>
      </c>
      <c r="Y70" s="220" t="str">
        <f t="shared" si="45"/>
        <v>-</v>
      </c>
      <c r="Z70" s="256"/>
      <c r="AA70" s="450">
        <v>0</v>
      </c>
      <c r="AB70" s="451">
        <f t="shared" si="47"/>
        <v>0</v>
      </c>
      <c r="AC70" s="222" t="str">
        <f t="shared" si="46"/>
        <v>-</v>
      </c>
      <c r="AD70" s="191"/>
      <c r="AE70" s="851"/>
    </row>
    <row r="71" spans="1:31" x14ac:dyDescent="0.3">
      <c r="A71" s="190" t="s">
        <v>116</v>
      </c>
      <c r="B71" s="450">
        <v>0</v>
      </c>
      <c r="C71" s="451">
        <v>0</v>
      </c>
      <c r="D71" s="451">
        <f t="shared" si="27"/>
        <v>0</v>
      </c>
      <c r="E71" s="222" t="str">
        <f t="shared" si="41"/>
        <v>-</v>
      </c>
      <c r="F71" s="191"/>
      <c r="G71" s="450">
        <v>0</v>
      </c>
      <c r="H71" s="451">
        <v>0</v>
      </c>
      <c r="I71" s="451">
        <f t="shared" si="29"/>
        <v>0</v>
      </c>
      <c r="J71" s="223" t="str">
        <f t="shared" si="42"/>
        <v>-</v>
      </c>
      <c r="K71" s="191"/>
      <c r="L71" s="450">
        <v>0</v>
      </c>
      <c r="M71" s="450">
        <v>0</v>
      </c>
      <c r="N71" s="451">
        <f t="shared" si="31"/>
        <v>0</v>
      </c>
      <c r="O71" s="220" t="str">
        <f t="shared" si="43"/>
        <v>-</v>
      </c>
      <c r="P71" s="191"/>
      <c r="Q71" s="463">
        <v>0</v>
      </c>
      <c r="R71" s="463">
        <v>0</v>
      </c>
      <c r="S71" s="451">
        <f t="shared" si="33"/>
        <v>0</v>
      </c>
      <c r="T71" s="221" t="str">
        <f t="shared" si="44"/>
        <v>-</v>
      </c>
      <c r="U71" s="191"/>
      <c r="V71" s="450">
        <f t="shared" si="39"/>
        <v>0</v>
      </c>
      <c r="W71" s="451">
        <f t="shared" si="40"/>
        <v>0</v>
      </c>
      <c r="X71" s="451">
        <f t="shared" si="35"/>
        <v>0</v>
      </c>
      <c r="Y71" s="220" t="str">
        <f t="shared" si="45"/>
        <v>-</v>
      </c>
      <c r="Z71" s="191"/>
      <c r="AA71" s="450">
        <v>15000</v>
      </c>
      <c r="AB71" s="451">
        <f t="shared" si="47"/>
        <v>15000</v>
      </c>
      <c r="AC71" s="222">
        <f t="shared" si="46"/>
        <v>1</v>
      </c>
      <c r="AD71" s="256"/>
      <c r="AE71" s="850"/>
    </row>
    <row r="72" spans="1:31" x14ac:dyDescent="0.3">
      <c r="A72" s="190" t="s">
        <v>99</v>
      </c>
      <c r="B72" s="450">
        <v>3750</v>
      </c>
      <c r="C72" s="451">
        <v>0</v>
      </c>
      <c r="D72" s="451">
        <f t="shared" si="27"/>
        <v>-3750</v>
      </c>
      <c r="E72" s="222">
        <f t="shared" si="41"/>
        <v>-1</v>
      </c>
      <c r="F72" s="256"/>
      <c r="G72" s="450">
        <v>3750</v>
      </c>
      <c r="H72" s="451">
        <v>0</v>
      </c>
      <c r="I72" s="451">
        <f t="shared" si="29"/>
        <v>-3750</v>
      </c>
      <c r="J72" s="223">
        <f t="shared" si="42"/>
        <v>-1</v>
      </c>
      <c r="K72" s="256"/>
      <c r="L72" s="450">
        <v>3750</v>
      </c>
      <c r="M72" s="450">
        <v>0</v>
      </c>
      <c r="N72" s="451">
        <f t="shared" si="31"/>
        <v>-3750</v>
      </c>
      <c r="O72" s="220"/>
      <c r="P72" s="256"/>
      <c r="Q72" s="463">
        <v>3750</v>
      </c>
      <c r="R72" s="463">
        <v>0</v>
      </c>
      <c r="S72" s="451">
        <f t="shared" si="33"/>
        <v>-3750</v>
      </c>
      <c r="T72" s="221"/>
      <c r="U72" s="256"/>
      <c r="V72" s="450">
        <f t="shared" si="39"/>
        <v>15000</v>
      </c>
      <c r="W72" s="451">
        <f t="shared" si="40"/>
        <v>0</v>
      </c>
      <c r="X72" s="451">
        <f t="shared" si="35"/>
        <v>-15000</v>
      </c>
      <c r="Y72" s="220">
        <f t="shared" si="45"/>
        <v>-1</v>
      </c>
      <c r="Z72" s="256"/>
      <c r="AA72" s="450">
        <v>0</v>
      </c>
      <c r="AB72" s="451">
        <f t="shared" si="47"/>
        <v>0</v>
      </c>
      <c r="AC72" s="222" t="str">
        <f t="shared" si="46"/>
        <v>-</v>
      </c>
      <c r="AD72" s="191"/>
      <c r="AE72" s="850"/>
    </row>
    <row r="73" spans="1:31" x14ac:dyDescent="0.3">
      <c r="A73" s="190" t="s">
        <v>100</v>
      </c>
      <c r="B73" s="450">
        <v>0</v>
      </c>
      <c r="C73" s="451">
        <v>0</v>
      </c>
      <c r="D73" s="451">
        <f t="shared" si="27"/>
        <v>0</v>
      </c>
      <c r="E73" s="222" t="str">
        <f t="shared" si="41"/>
        <v>-</v>
      </c>
      <c r="F73" s="191"/>
      <c r="G73" s="450">
        <v>0</v>
      </c>
      <c r="H73" s="451">
        <v>0</v>
      </c>
      <c r="I73" s="451">
        <f t="shared" si="29"/>
        <v>0</v>
      </c>
      <c r="J73" s="223" t="str">
        <f t="shared" si="42"/>
        <v>-</v>
      </c>
      <c r="K73" s="191"/>
      <c r="L73" s="450">
        <v>0</v>
      </c>
      <c r="M73" s="450">
        <v>0</v>
      </c>
      <c r="N73" s="451">
        <f t="shared" si="31"/>
        <v>0</v>
      </c>
      <c r="O73" s="294" t="str">
        <f>IF(ISERROR(N73/L73),"-",N73/L73)</f>
        <v>-</v>
      </c>
      <c r="P73" s="191"/>
      <c r="Q73" s="463">
        <v>0</v>
      </c>
      <c r="R73" s="463">
        <v>0</v>
      </c>
      <c r="S73" s="451">
        <f t="shared" si="33"/>
        <v>0</v>
      </c>
      <c r="T73" s="295" t="str">
        <f>IF(ISERROR(S73/Q73),"-",S73/Q73)</f>
        <v>-</v>
      </c>
      <c r="U73" s="191"/>
      <c r="V73" s="450">
        <f t="shared" si="39"/>
        <v>0</v>
      </c>
      <c r="W73" s="451">
        <f t="shared" si="40"/>
        <v>0</v>
      </c>
      <c r="X73" s="451">
        <f t="shared" si="35"/>
        <v>0</v>
      </c>
      <c r="Y73" s="294" t="str">
        <f t="shared" si="45"/>
        <v>-</v>
      </c>
      <c r="Z73" s="191"/>
      <c r="AA73" s="450">
        <v>21340</v>
      </c>
      <c r="AB73" s="451">
        <f t="shared" si="47"/>
        <v>21340</v>
      </c>
      <c r="AC73" s="222">
        <f t="shared" si="46"/>
        <v>1</v>
      </c>
      <c r="AD73" s="191"/>
      <c r="AE73" s="850"/>
    </row>
    <row r="74" spans="1:31" x14ac:dyDescent="0.3">
      <c r="A74" s="190" t="s">
        <v>101</v>
      </c>
      <c r="B74" s="450">
        <v>5335</v>
      </c>
      <c r="C74" s="451">
        <v>3606.76</v>
      </c>
      <c r="D74" s="451">
        <f t="shared" si="27"/>
        <v>-1728.2399999999998</v>
      </c>
      <c r="E74" s="222">
        <f t="shared" si="41"/>
        <v>-0.32394376757263349</v>
      </c>
      <c r="F74" s="191"/>
      <c r="G74" s="450">
        <v>5335</v>
      </c>
      <c r="H74" s="451">
        <v>3513.8</v>
      </c>
      <c r="I74" s="451">
        <f t="shared" si="29"/>
        <v>-1821.1999999999998</v>
      </c>
      <c r="J74" s="223">
        <f t="shared" si="42"/>
        <v>-0.34136832239925019</v>
      </c>
      <c r="K74" s="191"/>
      <c r="L74" s="450">
        <v>5335</v>
      </c>
      <c r="M74" s="450">
        <v>3265</v>
      </c>
      <c r="N74" s="451">
        <f t="shared" si="31"/>
        <v>-2070</v>
      </c>
      <c r="O74" s="294">
        <f>IF(ISERROR(N74/L74),"-",N74/L74)</f>
        <v>-0.38800374882849109</v>
      </c>
      <c r="P74" s="191"/>
      <c r="Q74" s="463">
        <v>5335</v>
      </c>
      <c r="R74" s="463">
        <v>5069.3100000000004</v>
      </c>
      <c r="S74" s="451">
        <f t="shared" si="33"/>
        <v>-265.6899999999996</v>
      </c>
      <c r="T74" s="295">
        <f>IF(ISERROR(S74/Q74),"-",S74/Q74)</f>
        <v>-4.9801312089971808E-2</v>
      </c>
      <c r="U74" s="191"/>
      <c r="V74" s="450">
        <f t="shared" si="39"/>
        <v>21340</v>
      </c>
      <c r="W74" s="451">
        <f t="shared" si="40"/>
        <v>15454.870000000003</v>
      </c>
      <c r="X74" s="451">
        <f t="shared" si="35"/>
        <v>-5885.1299999999974</v>
      </c>
      <c r="Y74" s="294">
        <f t="shared" si="45"/>
        <v>-0.27577928772258659</v>
      </c>
      <c r="Z74" s="191"/>
      <c r="AA74" s="450">
        <v>0</v>
      </c>
      <c r="AB74" s="451">
        <f t="shared" si="47"/>
        <v>-15454.870000000003</v>
      </c>
      <c r="AC74" s="222" t="str">
        <f t="shared" si="46"/>
        <v>-</v>
      </c>
      <c r="AD74" s="191"/>
      <c r="AE74" s="850"/>
    </row>
    <row r="75" spans="1:31" x14ac:dyDescent="0.3">
      <c r="A75" s="275" t="s">
        <v>179</v>
      </c>
      <c r="B75" s="477">
        <v>0</v>
      </c>
      <c r="C75" s="478">
        <v>0</v>
      </c>
      <c r="D75" s="451">
        <f t="shared" si="27"/>
        <v>0</v>
      </c>
      <c r="E75" s="261" t="str">
        <f t="shared" si="41"/>
        <v>-</v>
      </c>
      <c r="F75" s="191"/>
      <c r="G75" s="479">
        <v>0</v>
      </c>
      <c r="H75" s="480">
        <v>0</v>
      </c>
      <c r="I75" s="451">
        <f t="shared" si="29"/>
        <v>0</v>
      </c>
      <c r="J75" s="234" t="str">
        <f t="shared" si="42"/>
        <v>-</v>
      </c>
      <c r="K75" s="191"/>
      <c r="L75" s="450">
        <v>0</v>
      </c>
      <c r="M75" s="450">
        <v>0</v>
      </c>
      <c r="N75" s="451">
        <f t="shared" si="31"/>
        <v>0</v>
      </c>
      <c r="O75" s="259" t="str">
        <f>IF(ISERROR(N75/L75),"-",N75/L75)</f>
        <v>-</v>
      </c>
      <c r="P75" s="191"/>
      <c r="Q75" s="463">
        <v>0</v>
      </c>
      <c r="R75" s="463">
        <v>0</v>
      </c>
      <c r="S75" s="451">
        <f t="shared" si="33"/>
        <v>0</v>
      </c>
      <c r="T75" s="260" t="str">
        <f>IF(ISERROR(S75/Q75),"-",S75/Q75)</f>
        <v>-</v>
      </c>
      <c r="U75" s="191"/>
      <c r="V75" s="450">
        <f t="shared" si="39"/>
        <v>0</v>
      </c>
      <c r="W75" s="451">
        <f t="shared" si="40"/>
        <v>0</v>
      </c>
      <c r="X75" s="451">
        <f t="shared" si="35"/>
        <v>0</v>
      </c>
      <c r="Y75" s="553" t="str">
        <f t="shared" si="45"/>
        <v>-</v>
      </c>
      <c r="Z75" s="191"/>
      <c r="AA75" s="450">
        <v>0</v>
      </c>
      <c r="AB75" s="478">
        <f t="shared" si="47"/>
        <v>0</v>
      </c>
      <c r="AC75" s="553" t="str">
        <f t="shared" si="46"/>
        <v>-</v>
      </c>
      <c r="AD75" s="203"/>
      <c r="AE75" s="850"/>
    </row>
    <row r="76" spans="1:31" x14ac:dyDescent="0.3">
      <c r="A76" s="199" t="s">
        <v>102</v>
      </c>
      <c r="B76" s="469">
        <f>SUM(B43:B75)</f>
        <v>2170006.41</v>
      </c>
      <c r="C76" s="470">
        <f>SUM(C43:C75)</f>
        <v>2810702.4099999997</v>
      </c>
      <c r="D76" s="470">
        <f>SUM(D43:D75)</f>
        <v>640696</v>
      </c>
      <c r="E76" s="237">
        <f t="shared" si="41"/>
        <v>0.29525074075702845</v>
      </c>
      <c r="F76" s="203"/>
      <c r="G76" s="469">
        <f>SUM(G43:G75)</f>
        <v>2170006.41</v>
      </c>
      <c r="H76" s="470">
        <f>SUM(H43:H75)</f>
        <v>2326136.8899999997</v>
      </c>
      <c r="I76" s="470">
        <f>SUM(I43:I75)</f>
        <v>156130.4800000001</v>
      </c>
      <c r="J76" s="237">
        <f>IF(ISERROR(I76/G76),"-",I76/G76)</f>
        <v>7.1949317421601572E-2</v>
      </c>
      <c r="K76" s="203"/>
      <c r="L76" s="469">
        <f>SUM(L43:L75)</f>
        <v>2170007</v>
      </c>
      <c r="M76" s="470">
        <f>SUM(M43:M75)</f>
        <v>2875251</v>
      </c>
      <c r="N76" s="470">
        <f>SUM(N43:N75)</f>
        <v>705244</v>
      </c>
      <c r="O76" s="237">
        <f>IF(ISERROR(N76/L76),"-",N76/L76)</f>
        <v>0.32499618664824581</v>
      </c>
      <c r="P76" s="203"/>
      <c r="Q76" s="469">
        <f>SUM(Q43:Q75)</f>
        <v>2170006.41</v>
      </c>
      <c r="R76" s="470">
        <f>SUM(R43:R75)</f>
        <v>2548536.31</v>
      </c>
      <c r="S76" s="470">
        <f>SUM(S43:S75)</f>
        <v>378529.89999999979</v>
      </c>
      <c r="T76" s="237">
        <f>IF(ISERROR(S76/Q76),"-",S76/Q76)</f>
        <v>0.17443722666238565</v>
      </c>
      <c r="U76" s="203"/>
      <c r="V76" s="469">
        <f>SUM(V43:V75)</f>
        <v>8680026.2300000004</v>
      </c>
      <c r="W76" s="470">
        <f>SUM(W43:W75)</f>
        <v>10560626.609999999</v>
      </c>
      <c r="X76" s="470">
        <f>SUM(X43:X75)</f>
        <v>1880600.3800000001</v>
      </c>
      <c r="Y76" s="237">
        <f t="shared" si="45"/>
        <v>0.2166583752362693</v>
      </c>
      <c r="Z76" s="203"/>
      <c r="AA76" s="469">
        <f>SUM(AA43:AA75)</f>
        <v>8680026</v>
      </c>
      <c r="AB76" s="470">
        <f>SUM(AB43:AB75)</f>
        <v>-1880600.6100000003</v>
      </c>
      <c r="AC76" s="237">
        <f t="shared" si="46"/>
        <v>-0.21665840747481635</v>
      </c>
      <c r="AD76" s="175"/>
      <c r="AE76" s="852"/>
    </row>
    <row r="77" spans="1:31" x14ac:dyDescent="0.3">
      <c r="A77" s="277"/>
      <c r="B77" s="486"/>
      <c r="C77" s="487"/>
      <c r="D77" s="487"/>
      <c r="E77" s="280"/>
      <c r="F77" s="175"/>
      <c r="G77" s="488"/>
      <c r="H77" s="489"/>
      <c r="I77" s="489"/>
      <c r="J77" s="292"/>
      <c r="K77" s="175"/>
      <c r="L77" s="486"/>
      <c r="M77" s="487"/>
      <c r="N77" s="487"/>
      <c r="O77" s="284"/>
      <c r="P77" s="175"/>
      <c r="Q77" s="488"/>
      <c r="R77" s="489"/>
      <c r="S77" s="489"/>
      <c r="T77" s="285"/>
      <c r="U77" s="175"/>
      <c r="V77" s="490"/>
      <c r="W77" s="491"/>
      <c r="X77" s="487"/>
      <c r="Y77" s="284"/>
      <c r="Z77" s="175"/>
      <c r="AA77" s="490"/>
      <c r="AB77" s="487"/>
      <c r="AC77" s="284"/>
      <c r="AD77" s="256"/>
      <c r="AE77" s="850"/>
    </row>
    <row r="78" spans="1:31" ht="19.5" thickBot="1" x14ac:dyDescent="0.35">
      <c r="A78" s="199" t="s">
        <v>103</v>
      </c>
      <c r="B78" s="469">
        <f>B41+B76+B77</f>
        <v>2315770.87</v>
      </c>
      <c r="C78" s="470">
        <f>C41+C76+C77</f>
        <v>2943420.01</v>
      </c>
      <c r="D78" s="470">
        <f>D41+D76+D77</f>
        <v>627649.14</v>
      </c>
      <c r="E78" s="237">
        <f>IF(ISERROR(D78/B78),"-",D78/B78)</f>
        <v>0.27103248776939665</v>
      </c>
      <c r="F78" s="256"/>
      <c r="G78" s="469">
        <f>G41+G76+G77</f>
        <v>2315770.87</v>
      </c>
      <c r="H78" s="470">
        <f>H41+H76+H77</f>
        <v>2458858.9899999998</v>
      </c>
      <c r="I78" s="470">
        <f>I41+I76+I77</f>
        <v>143088.12000000011</v>
      </c>
      <c r="J78" s="237">
        <f>IF(ISERROR(I78/G78),"-",I78/G78)</f>
        <v>6.1788548190866613E-2</v>
      </c>
      <c r="K78" s="256"/>
      <c r="L78" s="469">
        <f>L41+L76+L77</f>
        <v>2315772</v>
      </c>
      <c r="M78" s="470">
        <f>M41+M76+M77</f>
        <v>3016779</v>
      </c>
      <c r="N78" s="470">
        <f>N41+N76+N77</f>
        <v>701007</v>
      </c>
      <c r="O78" s="237">
        <f>IF(ISERROR(N78/L78),"-",N78/L78)</f>
        <v>0.30270985226524894</v>
      </c>
      <c r="P78" s="256"/>
      <c r="Q78" s="469">
        <f>Q41+Q76+Q77</f>
        <v>2315770.87</v>
      </c>
      <c r="R78" s="470">
        <f>R41+R76+R77</f>
        <v>2704071.99</v>
      </c>
      <c r="S78" s="470">
        <f>S41+S76+S77</f>
        <v>388301.11999999982</v>
      </c>
      <c r="T78" s="237">
        <f>IF(ISERROR(S78/Q78),"-",S78/Q78)</f>
        <v>0.16767683065293926</v>
      </c>
      <c r="U78" s="256"/>
      <c r="V78" s="469">
        <f>V41+V76+V77</f>
        <v>9263084.6100000013</v>
      </c>
      <c r="W78" s="470">
        <f>W41+W76+W77</f>
        <v>11123129.99</v>
      </c>
      <c r="X78" s="470">
        <f>X41+X76+X77</f>
        <v>1860045.3800000001</v>
      </c>
      <c r="Y78" s="237">
        <f>IF(ISERROR(X78/V78),"-",X78/V78)</f>
        <v>0.20080194215131972</v>
      </c>
      <c r="Z78" s="256"/>
      <c r="AA78" s="469">
        <f>AA41+AA76+AA77</f>
        <v>9264574</v>
      </c>
      <c r="AB78" s="470">
        <f>AB41+AB76+AB77</f>
        <v>-1858555.9900000002</v>
      </c>
      <c r="AC78" s="237">
        <f>IF(ISERROR(AB78/AA78),"-",AB78/AA78)</f>
        <v>-0.20060889901683554</v>
      </c>
      <c r="AD78" s="175"/>
      <c r="AE78" s="852"/>
    </row>
    <row r="79" spans="1:31" ht="19.5" thickBot="1" x14ac:dyDescent="0.35">
      <c r="A79" s="288" t="s">
        <v>170</v>
      </c>
      <c r="B79" s="486">
        <f>B25-B78</f>
        <v>-167467.30603224086</v>
      </c>
      <c r="C79" s="486">
        <f>C25-C78</f>
        <v>-761560.76999999955</v>
      </c>
      <c r="D79" s="486">
        <f>D25-D78</f>
        <v>-594093.46396775928</v>
      </c>
      <c r="E79" s="289"/>
      <c r="F79" s="290">
        <f>F25-F78</f>
        <v>0</v>
      </c>
      <c r="G79" s="486">
        <f>G25-G78</f>
        <v>-167467.30603224086</v>
      </c>
      <c r="H79" s="486">
        <f>H25-H78</f>
        <v>-262046.76999999955</v>
      </c>
      <c r="I79" s="486">
        <f>I25-I78</f>
        <v>-94579.463967759468</v>
      </c>
      <c r="J79" s="290"/>
      <c r="K79" s="290">
        <f>K25-K78</f>
        <v>0</v>
      </c>
      <c r="L79" s="486">
        <f>L25-L78</f>
        <v>-167469</v>
      </c>
      <c r="M79" s="486">
        <f>M25-M78</f>
        <v>-802284</v>
      </c>
      <c r="N79" s="486">
        <f>N25-N78</f>
        <v>-634815</v>
      </c>
      <c r="O79" s="290"/>
      <c r="P79" s="290">
        <f>P25-P78</f>
        <v>0</v>
      </c>
      <c r="Q79" s="486">
        <f>Q25-Q78</f>
        <v>-167467.30603224086</v>
      </c>
      <c r="R79" s="486">
        <f>R25-R78</f>
        <v>-314394.90000000037</v>
      </c>
      <c r="S79" s="486">
        <f>S25-S78</f>
        <v>-146927.59396775928</v>
      </c>
      <c r="T79" s="290"/>
      <c r="U79" s="290">
        <f>U25-U78</f>
        <v>0</v>
      </c>
      <c r="V79" s="486">
        <f>V25-V78</f>
        <v>-669870.91809672303</v>
      </c>
      <c r="W79" s="486">
        <f>W25-W78</f>
        <v>-2140286.4399999995</v>
      </c>
      <c r="X79" s="486">
        <f>X25-X78</f>
        <v>-1470415.5219032778</v>
      </c>
      <c r="Y79" s="290"/>
      <c r="Z79" s="290">
        <f>Z25-Z78</f>
        <v>0</v>
      </c>
      <c r="AA79" s="486">
        <f>AA25-AA78</f>
        <v>-671360</v>
      </c>
      <c r="AB79" s="486">
        <f>AB25-AB78</f>
        <v>1468926.4400000002</v>
      </c>
      <c r="AC79" s="856"/>
      <c r="AD79" s="175"/>
      <c r="AE79" s="850"/>
    </row>
    <row r="80" spans="1:31" ht="19.5" thickBot="1" x14ac:dyDescent="0.35">
      <c r="A80" s="291" t="s">
        <v>171</v>
      </c>
      <c r="B80" s="486"/>
      <c r="C80" s="487"/>
      <c r="D80" s="487">
        <f>C80-B80</f>
        <v>0</v>
      </c>
      <c r="E80" s="280"/>
      <c r="F80" s="175"/>
      <c r="G80" s="488"/>
      <c r="H80" s="489"/>
      <c r="I80" s="487">
        <f>H80-G80</f>
        <v>0</v>
      </c>
      <c r="J80" s="292"/>
      <c r="K80" s="175"/>
      <c r="L80" s="486"/>
      <c r="M80" s="487"/>
      <c r="N80" s="487">
        <f>M80-L80</f>
        <v>0</v>
      </c>
      <c r="O80" s="284"/>
      <c r="P80" s="175"/>
      <c r="Q80" s="488"/>
      <c r="R80" s="489"/>
      <c r="S80" s="487">
        <f>R80-Q80</f>
        <v>0</v>
      </c>
      <c r="T80" s="292"/>
      <c r="U80" s="175"/>
      <c r="V80" s="490"/>
      <c r="W80" s="491"/>
      <c r="X80" s="487"/>
      <c r="Y80" s="284"/>
      <c r="Z80" s="175"/>
      <c r="AA80" s="490"/>
      <c r="AB80" s="487"/>
      <c r="AC80" s="284"/>
      <c r="AD80" s="175"/>
      <c r="AE80" s="852"/>
    </row>
    <row r="81" spans="1:31" ht="19.5" thickBot="1" x14ac:dyDescent="0.35">
      <c r="A81" s="293" t="s">
        <v>172</v>
      </c>
      <c r="B81" s="486">
        <f>B79-B80</f>
        <v>-167467.30603224086</v>
      </c>
      <c r="C81" s="486">
        <f t="shared" ref="C81:AA81" si="48">C79-C80</f>
        <v>-761560.76999999955</v>
      </c>
      <c r="D81" s="486">
        <f t="shared" si="48"/>
        <v>-594093.46396775928</v>
      </c>
      <c r="E81" s="289">
        <f>E79-E80</f>
        <v>0</v>
      </c>
      <c r="F81" s="290">
        <f t="shared" si="48"/>
        <v>0</v>
      </c>
      <c r="G81" s="486">
        <f t="shared" si="48"/>
        <v>-167467.30603224086</v>
      </c>
      <c r="H81" s="486">
        <f t="shared" si="48"/>
        <v>-262046.76999999955</v>
      </c>
      <c r="I81" s="486">
        <f t="shared" si="48"/>
        <v>-94579.463967759468</v>
      </c>
      <c r="J81" s="290">
        <f>J79-J80</f>
        <v>0</v>
      </c>
      <c r="K81" s="290">
        <f t="shared" si="48"/>
        <v>0</v>
      </c>
      <c r="L81" s="486">
        <f t="shared" si="48"/>
        <v>-167469</v>
      </c>
      <c r="M81" s="486">
        <f t="shared" si="48"/>
        <v>-802284</v>
      </c>
      <c r="N81" s="486">
        <f t="shared" si="48"/>
        <v>-634815</v>
      </c>
      <c r="O81" s="290">
        <f t="shared" si="48"/>
        <v>0</v>
      </c>
      <c r="P81" s="290">
        <f t="shared" si="48"/>
        <v>0</v>
      </c>
      <c r="Q81" s="486">
        <f t="shared" si="48"/>
        <v>-167467.30603224086</v>
      </c>
      <c r="R81" s="486">
        <f t="shared" si="48"/>
        <v>-314394.90000000037</v>
      </c>
      <c r="S81" s="486">
        <f t="shared" si="48"/>
        <v>-146927.59396775928</v>
      </c>
      <c r="T81" s="290">
        <f t="shared" si="48"/>
        <v>0</v>
      </c>
      <c r="U81" s="290">
        <f t="shared" si="48"/>
        <v>0</v>
      </c>
      <c r="V81" s="486">
        <f>V79-V80</f>
        <v>-669870.91809672303</v>
      </c>
      <c r="W81" s="486">
        <f t="shared" si="48"/>
        <v>-2140286.4399999995</v>
      </c>
      <c r="X81" s="486">
        <f t="shared" si="48"/>
        <v>-1470415.5219032778</v>
      </c>
      <c r="Y81" s="290">
        <f t="shared" si="48"/>
        <v>0</v>
      </c>
      <c r="Z81" s="290">
        <f t="shared" si="48"/>
        <v>0</v>
      </c>
      <c r="AA81" s="486">
        <f t="shared" si="48"/>
        <v>-671360</v>
      </c>
      <c r="AB81" s="486">
        <f>AB79-AB80</f>
        <v>1468926.4400000002</v>
      </c>
      <c r="AC81" s="856">
        <f>AC79-AC80</f>
        <v>0</v>
      </c>
      <c r="AD81" s="256"/>
      <c r="AE81" s="850"/>
    </row>
    <row r="82" spans="1:31" ht="19.5" thickBot="1" x14ac:dyDescent="0.35">
      <c r="A82" s="172" t="s">
        <v>104</v>
      </c>
      <c r="B82" s="450"/>
      <c r="C82" s="451"/>
      <c r="D82" s="451">
        <f>B82-C82</f>
        <v>0</v>
      </c>
      <c r="E82" s="220" t="str">
        <f>IF(ISERROR(D82/B82),"-",D82/B82)</f>
        <v>-</v>
      </c>
      <c r="F82" s="256"/>
      <c r="G82" s="463"/>
      <c r="H82" s="464"/>
      <c r="I82" s="464">
        <f>G82-H82</f>
        <v>0</v>
      </c>
      <c r="J82" s="295" t="str">
        <f>IF(ISERROR(I82/G82),"-",I82/G82)</f>
        <v>-</v>
      </c>
      <c r="K82" s="256"/>
      <c r="L82" s="450"/>
      <c r="M82" s="451"/>
      <c r="N82" s="451">
        <f>L82-M82</f>
        <v>0</v>
      </c>
      <c r="O82" s="294" t="str">
        <f>IF(ISERROR(N82/L82),"-",N82/L82)</f>
        <v>-</v>
      </c>
      <c r="P82" s="256"/>
      <c r="Q82" s="463"/>
      <c r="R82" s="464"/>
      <c r="S82" s="464">
        <f>Q82-R82</f>
        <v>0</v>
      </c>
      <c r="T82" s="295" t="str">
        <f>IF(ISERROR(S82/Q82),"-",S82/Q82)</f>
        <v>-</v>
      </c>
      <c r="U82" s="256"/>
      <c r="V82" s="450">
        <f>B82+G82+L82+Q82</f>
        <v>0</v>
      </c>
      <c r="W82" s="451">
        <f>C82+H82+M82+R82</f>
        <v>0</v>
      </c>
      <c r="X82" s="451">
        <f>V82-W82</f>
        <v>0</v>
      </c>
      <c r="Y82" s="294" t="str">
        <f>IF(ISERROR(X82/V82),"-",X82/V82)</f>
        <v>-</v>
      </c>
      <c r="Z82" s="256"/>
      <c r="AA82" s="450">
        <f>G82+L82+Q82+V82</f>
        <v>0</v>
      </c>
      <c r="AB82" s="451">
        <f>AA82-W82</f>
        <v>0</v>
      </c>
      <c r="AC82" s="294" t="str">
        <f>IF(ISERROR(AB82/AA82),"-",AB82/AA82)</f>
        <v>-</v>
      </c>
      <c r="AE82" s="854"/>
    </row>
    <row r="83" spans="1:31" ht="19.5" thickBot="1" x14ac:dyDescent="0.35">
      <c r="A83" s="296" t="s">
        <v>105</v>
      </c>
      <c r="B83" s="492">
        <f>B81-B82</f>
        <v>-167467.30603224086</v>
      </c>
      <c r="C83" s="492">
        <f>C81-C82</f>
        <v>-761560.76999999955</v>
      </c>
      <c r="D83" s="493">
        <f>C83-B83</f>
        <v>-594093.4639677587</v>
      </c>
      <c r="E83" s="299">
        <f>IF(ISERROR(D83/B83),"-",D83/B83)</f>
        <v>3.5475190832375585</v>
      </c>
      <c r="F83" s="300"/>
      <c r="G83" s="492">
        <f>G81-G82</f>
        <v>-167467.30603224086</v>
      </c>
      <c r="H83" s="492">
        <f>H81-H82</f>
        <v>-262046.76999999955</v>
      </c>
      <c r="I83" s="493">
        <f>H83-G83</f>
        <v>-94579.463967758697</v>
      </c>
      <c r="J83" s="299">
        <f>IF(ISERROR(I83/G83),"-",I83/G83)</f>
        <v>0.56476375125751543</v>
      </c>
      <c r="K83" s="300"/>
      <c r="L83" s="492">
        <f>L81-L82</f>
        <v>-167469</v>
      </c>
      <c r="M83" s="492">
        <f>M81-M82</f>
        <v>-802284</v>
      </c>
      <c r="N83" s="493">
        <f>M83-L83</f>
        <v>-634815</v>
      </c>
      <c r="O83" s="299">
        <f>IF(ISERROR(N83/L83),"-",N83/L83)</f>
        <v>3.7906418501334573</v>
      </c>
      <c r="P83" s="300"/>
      <c r="Q83" s="492">
        <f>Q81-Q82</f>
        <v>-167467.30603224086</v>
      </c>
      <c r="R83" s="492">
        <f>R81-R82</f>
        <v>-314394.90000000037</v>
      </c>
      <c r="S83" s="493">
        <f>R83-Q83</f>
        <v>-146927.59396775952</v>
      </c>
      <c r="T83" s="299">
        <f>IF(ISERROR(S83/Q83),"-",S83/Q83)</f>
        <v>0.87735091373281526</v>
      </c>
      <c r="U83" s="300"/>
      <c r="V83" s="494">
        <f>V81-V82</f>
        <v>-669870.91809672303</v>
      </c>
      <c r="W83" s="494">
        <f>W81-W82</f>
        <v>-2140286.4399999995</v>
      </c>
      <c r="X83" s="493">
        <f>W83-V83</f>
        <v>-1470415.5219032764</v>
      </c>
      <c r="Y83" s="303">
        <f>IF(ISERROR(X83/V83),"-",X83/V83)</f>
        <v>2.1950729344708804</v>
      </c>
      <c r="Z83" s="300"/>
      <c r="AA83" s="494">
        <f>AA81-AA82</f>
        <v>-671360</v>
      </c>
      <c r="AB83" s="494">
        <f>AB81-AB82</f>
        <v>1468926.4400000002</v>
      </c>
      <c r="AC83" s="303">
        <f>IF(ISERROR(AB83/AA83),"-",AB83/AA83)</f>
        <v>-2.1879862368922787</v>
      </c>
    </row>
  </sheetData>
  <sheetProtection algorithmName="SHA-512" hashValue="R+vClYIBQJLuMmqeOV5Ng1VZO21pyTgGrsMWXv9xiDdgMxIde//blgqWgsUXxTcx09QOZFcZLXWL8wwk8ukHIQ==" saltValue="yg4eqsvYgBYvsRfFPje/Uw==" spinCount="100000" sheet="1" objects="1" scenarios="1"/>
  <mergeCells count="13">
    <mergeCell ref="AE9:AE11"/>
    <mergeCell ref="D10:E10"/>
    <mergeCell ref="I10:J10"/>
    <mergeCell ref="N10:O10"/>
    <mergeCell ref="S10:T10"/>
    <mergeCell ref="X10:Y10"/>
    <mergeCell ref="AB10:AC10"/>
    <mergeCell ref="B9:E9"/>
    <mergeCell ref="G9:J9"/>
    <mergeCell ref="L9:O9"/>
    <mergeCell ref="Q9:T9"/>
    <mergeCell ref="V9:Y9"/>
    <mergeCell ref="AA9:AC9"/>
  </mergeCells>
  <conditionalFormatting sqref="E55">
    <cfRule type="cellIs" dxfId="5" priority="1" stopIfTrue="1" operator="equal">
      <formula>""""""</formula>
    </cfRule>
  </conditionalFormatting>
  <pageMargins left="0.7" right="0.7" top="0.75" bottom="0.75" header="0.3" footer="0.3"/>
  <pageSetup scale="44" fitToWidth="0" orientation="portrait" horizontalDpi="300" verticalDpi="300"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59999389629810485"/>
    <pageSetUpPr fitToPage="1"/>
  </sheetPr>
  <dimension ref="A1:F76"/>
  <sheetViews>
    <sheetView topLeftCell="A5" zoomScale="80" zoomScaleNormal="80" workbookViewId="0">
      <selection activeCell="F38" sqref="F38"/>
    </sheetView>
  </sheetViews>
  <sheetFormatPr defaultColWidth="8.85546875" defaultRowHeight="15.75" customHeight="1" x14ac:dyDescent="0.3"/>
  <cols>
    <col min="1" max="1" width="46.85546875" style="49" customWidth="1"/>
    <col min="2" max="2" width="14.5703125" style="414" customWidth="1"/>
    <col min="3" max="3" width="16.85546875" style="414" customWidth="1"/>
    <col min="4" max="4" width="18.140625" style="414" customWidth="1"/>
    <col min="5" max="5" width="17" style="414" customWidth="1"/>
    <col min="6" max="6" width="17.42578125" style="414" customWidth="1"/>
    <col min="7" max="231" width="8.85546875" style="49" customWidth="1"/>
    <col min="232" max="16384" width="8.85546875" style="49"/>
  </cols>
  <sheetData>
    <row r="1" spans="1:6" ht="18.75" customHeight="1" x14ac:dyDescent="0.3">
      <c r="A1" s="1418" t="s">
        <v>49</v>
      </c>
      <c r="B1" s="1419"/>
      <c r="C1" s="1419"/>
      <c r="D1" s="1419"/>
      <c r="E1" s="1419"/>
      <c r="F1" s="1419"/>
    </row>
    <row r="2" spans="1:6" ht="18.75" customHeight="1" x14ac:dyDescent="0.3">
      <c r="A2" s="50"/>
      <c r="B2" s="357"/>
      <c r="C2" s="357"/>
      <c r="D2" s="357"/>
      <c r="E2" s="357"/>
      <c r="F2" s="357"/>
    </row>
    <row r="3" spans="1:6" s="52" customFormat="1" ht="18.75" customHeight="1" x14ac:dyDescent="0.3">
      <c r="A3" s="1420" t="s">
        <v>190</v>
      </c>
      <c r="B3" s="1421"/>
      <c r="C3" s="1421"/>
      <c r="D3" s="1421"/>
      <c r="E3" s="1421"/>
      <c r="F3" s="1421"/>
    </row>
    <row r="4" spans="1:6" ht="18.75" customHeight="1" x14ac:dyDescent="0.3">
      <c r="A4" s="1422" t="s">
        <v>0</v>
      </c>
      <c r="B4" s="1423"/>
      <c r="C4" s="1423"/>
      <c r="D4" s="1423"/>
      <c r="E4" s="1423"/>
      <c r="F4" s="1423"/>
    </row>
    <row r="5" spans="1:6" ht="18.75" customHeight="1" x14ac:dyDescent="0.3">
      <c r="A5" s="1422" t="s">
        <v>1</v>
      </c>
      <c r="B5" s="1424"/>
      <c r="C5" s="1424"/>
      <c r="D5" s="1424"/>
      <c r="E5" s="1424"/>
      <c r="F5" s="1424"/>
    </row>
    <row r="6" spans="1:6" ht="18.75" customHeight="1" x14ac:dyDescent="0.3">
      <c r="A6" s="1420" t="s">
        <v>194</v>
      </c>
      <c r="B6" s="1425"/>
      <c r="C6" s="1425"/>
      <c r="D6" s="1425"/>
      <c r="E6" s="1425"/>
      <c r="F6" s="1425"/>
    </row>
    <row r="7" spans="1:6" ht="18.75" customHeight="1" x14ac:dyDescent="0.3">
      <c r="A7" s="1416" t="s">
        <v>2</v>
      </c>
      <c r="B7" s="1417"/>
      <c r="C7" s="1417"/>
      <c r="D7" s="1417"/>
      <c r="E7" s="1417"/>
      <c r="F7" s="1417"/>
    </row>
    <row r="8" spans="1:6" ht="16.5" customHeight="1" thickBot="1" x14ac:dyDescent="0.35">
      <c r="A8" s="309"/>
      <c r="B8" s="358"/>
      <c r="C8" s="359"/>
      <c r="D8" s="358"/>
      <c r="E8" s="359"/>
      <c r="F8" s="358"/>
    </row>
    <row r="9" spans="1:6" ht="17.45" customHeight="1" x14ac:dyDescent="0.3">
      <c r="A9" s="312"/>
      <c r="B9" s="360" t="s">
        <v>164</v>
      </c>
      <c r="C9" s="361" t="s">
        <v>165</v>
      </c>
      <c r="D9" s="360" t="s">
        <v>166</v>
      </c>
      <c r="E9" s="361" t="s">
        <v>167</v>
      </c>
      <c r="F9" s="360" t="s">
        <v>3</v>
      </c>
    </row>
    <row r="10" spans="1:6" ht="15" customHeight="1" x14ac:dyDescent="0.3">
      <c r="A10" s="314"/>
      <c r="B10" s="44">
        <v>44927</v>
      </c>
      <c r="C10" s="45">
        <v>45016</v>
      </c>
      <c r="D10" s="44">
        <v>45107</v>
      </c>
      <c r="E10" s="45">
        <v>45199</v>
      </c>
      <c r="F10" s="44">
        <v>45291</v>
      </c>
    </row>
    <row r="11" spans="1:6" ht="15" customHeight="1" thickBot="1" x14ac:dyDescent="0.35">
      <c r="A11" s="316"/>
      <c r="B11" s="362" t="s">
        <v>107</v>
      </c>
      <c r="C11" s="364" t="s">
        <v>107</v>
      </c>
      <c r="D11" s="362" t="s">
        <v>107</v>
      </c>
      <c r="E11" s="364" t="s">
        <v>107</v>
      </c>
      <c r="F11" s="362" t="s">
        <v>107</v>
      </c>
    </row>
    <row r="12" spans="1:6" ht="15" customHeight="1" x14ac:dyDescent="0.3">
      <c r="A12" s="319" t="s">
        <v>4</v>
      </c>
      <c r="B12" s="369"/>
      <c r="C12" s="368"/>
      <c r="D12" s="369"/>
      <c r="E12" s="368"/>
      <c r="F12" s="369"/>
    </row>
    <row r="13" spans="1:6" ht="15" customHeight="1" x14ac:dyDescent="0.3">
      <c r="A13" s="322" t="s">
        <v>5</v>
      </c>
      <c r="B13" s="371"/>
      <c r="C13" s="373"/>
      <c r="D13" s="371"/>
      <c r="E13" s="373"/>
      <c r="F13" s="371"/>
    </row>
    <row r="14" spans="1:6" ht="15" customHeight="1" x14ac:dyDescent="0.3">
      <c r="A14" s="324" t="s">
        <v>6</v>
      </c>
      <c r="B14" s="955">
        <v>19927344.795994002</v>
      </c>
      <c r="C14" s="955">
        <v>21033095.999988005</v>
      </c>
      <c r="D14" s="955">
        <v>20626618.385568004</v>
      </c>
      <c r="E14" s="955">
        <v>19737175.156959996</v>
      </c>
      <c r="F14" s="955">
        <v>19022130.435626</v>
      </c>
    </row>
    <row r="15" spans="1:6" ht="15" customHeight="1" x14ac:dyDescent="0.3">
      <c r="A15" s="325" t="s">
        <v>7</v>
      </c>
      <c r="B15" s="955">
        <v>0</v>
      </c>
      <c r="C15" s="955">
        <v>0</v>
      </c>
      <c r="D15" s="955">
        <v>0</v>
      </c>
      <c r="E15" s="955">
        <v>0</v>
      </c>
      <c r="F15" s="955">
        <v>0</v>
      </c>
    </row>
    <row r="16" spans="1:6" ht="15" customHeight="1" x14ac:dyDescent="0.3">
      <c r="A16" s="325" t="s">
        <v>8</v>
      </c>
      <c r="B16" s="955">
        <v>71652.626900000003</v>
      </c>
      <c r="C16" s="955">
        <v>73144.362844000003</v>
      </c>
      <c r="D16" s="955">
        <v>77788.739102000007</v>
      </c>
      <c r="E16" s="955">
        <v>99566.277413999996</v>
      </c>
      <c r="F16" s="955">
        <v>137647.96378200001</v>
      </c>
    </row>
    <row r="17" spans="1:6" ht="15" customHeight="1" x14ac:dyDescent="0.3">
      <c r="A17" s="325" t="s">
        <v>9</v>
      </c>
      <c r="B17" s="955">
        <v>0</v>
      </c>
      <c r="C17" s="955">
        <v>0</v>
      </c>
      <c r="D17" s="955">
        <v>0</v>
      </c>
      <c r="E17" s="955">
        <v>0</v>
      </c>
      <c r="F17" s="955">
        <v>0</v>
      </c>
    </row>
    <row r="18" spans="1:6" ht="15" customHeight="1" x14ac:dyDescent="0.3">
      <c r="A18" s="325" t="s">
        <v>10</v>
      </c>
      <c r="B18" s="955">
        <v>51919.276514000012</v>
      </c>
      <c r="C18" s="955">
        <v>19182.081211999997</v>
      </c>
      <c r="D18" s="955">
        <v>40484.641466000001</v>
      </c>
      <c r="E18" s="955">
        <v>28441.559230000003</v>
      </c>
      <c r="F18" s="955">
        <v>46477.848956000002</v>
      </c>
    </row>
    <row r="19" spans="1:6" ht="15" customHeight="1" x14ac:dyDescent="0.3">
      <c r="A19" s="326" t="s">
        <v>11</v>
      </c>
      <c r="B19" s="955">
        <v>0</v>
      </c>
      <c r="C19" s="955">
        <v>0</v>
      </c>
      <c r="D19" s="955">
        <v>0</v>
      </c>
      <c r="E19" s="955">
        <v>0</v>
      </c>
      <c r="F19" s="955">
        <v>0</v>
      </c>
    </row>
    <row r="20" spans="1:6" ht="15" customHeight="1" x14ac:dyDescent="0.3">
      <c r="A20" s="327" t="s">
        <v>12</v>
      </c>
      <c r="B20" s="555">
        <f>SUM(B14:B19)</f>
        <v>20050916.699408002</v>
      </c>
      <c r="C20" s="555">
        <f t="shared" ref="C20:F20" si="0">SUM(C14:C19)</f>
        <v>21125422.444044005</v>
      </c>
      <c r="D20" s="555">
        <f t="shared" si="0"/>
        <v>20744891.766136002</v>
      </c>
      <c r="E20" s="555">
        <f t="shared" si="0"/>
        <v>19865182.993603997</v>
      </c>
      <c r="F20" s="555">
        <f t="shared" si="0"/>
        <v>19206256.248364002</v>
      </c>
    </row>
    <row r="21" spans="1:6" ht="15" customHeight="1" x14ac:dyDescent="0.3">
      <c r="A21" s="328"/>
      <c r="B21" s="666"/>
      <c r="C21" s="556"/>
      <c r="D21" s="380"/>
      <c r="E21" s="380"/>
      <c r="F21" s="380"/>
    </row>
    <row r="22" spans="1:6" ht="15" customHeight="1" x14ac:dyDescent="0.3">
      <c r="A22" s="329" t="s">
        <v>13</v>
      </c>
      <c r="B22" s="665"/>
      <c r="C22" s="554"/>
      <c r="D22" s="371"/>
      <c r="E22" s="371"/>
      <c r="F22" s="371"/>
    </row>
    <row r="23" spans="1:6" ht="15" customHeight="1" x14ac:dyDescent="0.3">
      <c r="A23" s="325" t="s">
        <v>14</v>
      </c>
      <c r="B23" s="665">
        <v>0</v>
      </c>
      <c r="C23" s="665">
        <v>0</v>
      </c>
      <c r="D23" s="665">
        <v>0</v>
      </c>
      <c r="E23" s="665">
        <v>0</v>
      </c>
      <c r="F23" s="665">
        <v>0</v>
      </c>
    </row>
    <row r="24" spans="1:6" ht="15" customHeight="1" x14ac:dyDescent="0.3">
      <c r="A24" s="325" t="s">
        <v>15</v>
      </c>
      <c r="B24" s="665">
        <v>0</v>
      </c>
      <c r="C24" s="665">
        <v>0</v>
      </c>
      <c r="D24" s="665">
        <v>0</v>
      </c>
      <c r="E24" s="665">
        <v>0</v>
      </c>
      <c r="F24" s="665">
        <v>0</v>
      </c>
    </row>
    <row r="25" spans="1:6" ht="15" customHeight="1" x14ac:dyDescent="0.3">
      <c r="A25" s="325" t="s">
        <v>16</v>
      </c>
      <c r="B25" s="665">
        <v>0</v>
      </c>
      <c r="C25" s="665">
        <v>0</v>
      </c>
      <c r="D25" s="665">
        <v>0</v>
      </c>
      <c r="E25" s="665">
        <v>0</v>
      </c>
      <c r="F25" s="665">
        <v>0</v>
      </c>
    </row>
    <row r="26" spans="1:6" ht="15" customHeight="1" x14ac:dyDescent="0.3">
      <c r="A26" s="325" t="s">
        <v>17</v>
      </c>
      <c r="B26" s="665">
        <v>0</v>
      </c>
      <c r="C26" s="665">
        <v>0</v>
      </c>
      <c r="D26" s="665">
        <v>0</v>
      </c>
      <c r="E26" s="665">
        <v>0</v>
      </c>
      <c r="F26" s="665">
        <v>0</v>
      </c>
    </row>
    <row r="27" spans="1:6" ht="15" customHeight="1" x14ac:dyDescent="0.3">
      <c r="A27" s="325" t="s">
        <v>119</v>
      </c>
      <c r="B27" s="665">
        <v>0</v>
      </c>
      <c r="C27" s="665">
        <v>0</v>
      </c>
      <c r="D27" s="665">
        <v>0</v>
      </c>
      <c r="E27" s="665">
        <v>0</v>
      </c>
      <c r="F27" s="665">
        <v>0</v>
      </c>
    </row>
    <row r="28" spans="1:6" ht="15" customHeight="1" x14ac:dyDescent="0.3">
      <c r="A28" s="325" t="s">
        <v>118</v>
      </c>
      <c r="B28" s="665">
        <v>0</v>
      </c>
      <c r="C28" s="665">
        <v>0</v>
      </c>
      <c r="D28" s="665">
        <v>0</v>
      </c>
      <c r="E28" s="665">
        <v>0</v>
      </c>
      <c r="F28" s="665">
        <v>0</v>
      </c>
    </row>
    <row r="29" spans="1:6" ht="15" customHeight="1" x14ac:dyDescent="0.3">
      <c r="A29" s="326" t="s">
        <v>18</v>
      </c>
      <c r="B29" s="665">
        <v>0</v>
      </c>
      <c r="C29" s="665">
        <v>0</v>
      </c>
      <c r="D29" s="665">
        <v>0</v>
      </c>
      <c r="E29" s="665">
        <v>0</v>
      </c>
      <c r="F29" s="665">
        <v>0</v>
      </c>
    </row>
    <row r="30" spans="1:6" ht="15" customHeight="1" x14ac:dyDescent="0.3">
      <c r="A30" s="327" t="s">
        <v>19</v>
      </c>
      <c r="B30" s="555">
        <f>SUM(B23:B29)</f>
        <v>0</v>
      </c>
      <c r="C30" s="555">
        <f t="shared" ref="C30:F30" si="1">SUM(C23:C29)</f>
        <v>0</v>
      </c>
      <c r="D30" s="555">
        <f t="shared" si="1"/>
        <v>0</v>
      </c>
      <c r="E30" s="555">
        <f t="shared" si="1"/>
        <v>0</v>
      </c>
      <c r="F30" s="555">
        <f t="shared" si="1"/>
        <v>0</v>
      </c>
    </row>
    <row r="31" spans="1:6" ht="15" customHeight="1" x14ac:dyDescent="0.3">
      <c r="A31" s="328"/>
      <c r="B31" s="666"/>
      <c r="C31" s="556"/>
      <c r="D31" s="385"/>
      <c r="E31" s="385"/>
      <c r="F31" s="385"/>
    </row>
    <row r="32" spans="1:6" ht="15" customHeight="1" x14ac:dyDescent="0.3">
      <c r="A32" s="329" t="s">
        <v>20</v>
      </c>
      <c r="B32" s="668"/>
      <c r="C32" s="557"/>
      <c r="D32" s="385"/>
      <c r="E32" s="385"/>
      <c r="F32" s="385"/>
    </row>
    <row r="33" spans="1:6" ht="15" customHeight="1" x14ac:dyDescent="0.3">
      <c r="A33" s="306" t="s">
        <v>21</v>
      </c>
      <c r="B33" s="668">
        <v>15163.329740000001</v>
      </c>
      <c r="C33" s="668">
        <v>15163.329740000001</v>
      </c>
      <c r="D33" s="668">
        <v>15163.329740000001</v>
      </c>
      <c r="E33" s="668">
        <v>15163.329740000001</v>
      </c>
      <c r="F33" s="668">
        <v>10079.594074000008</v>
      </c>
    </row>
    <row r="34" spans="1:6" ht="15" customHeight="1" x14ac:dyDescent="0.3">
      <c r="A34" s="306" t="s">
        <v>22</v>
      </c>
      <c r="B34" s="668">
        <v>40903.328615999955</v>
      </c>
      <c r="C34" s="668">
        <v>40903.328615999955</v>
      </c>
      <c r="D34" s="668">
        <v>40903.328615999955</v>
      </c>
      <c r="E34" s="668">
        <v>40903.328615999955</v>
      </c>
      <c r="F34" s="668">
        <v>31774.147651999985</v>
      </c>
    </row>
    <row r="35" spans="1:6" ht="15" customHeight="1" x14ac:dyDescent="0.3">
      <c r="A35" s="306" t="s">
        <v>23</v>
      </c>
      <c r="B35" s="668">
        <v>0</v>
      </c>
      <c r="C35" s="668">
        <v>0</v>
      </c>
      <c r="D35" s="668">
        <v>0</v>
      </c>
      <c r="E35" s="668">
        <v>0</v>
      </c>
      <c r="F35" s="668">
        <v>0</v>
      </c>
    </row>
    <row r="36" spans="1:6" ht="15" customHeight="1" x14ac:dyDescent="0.3">
      <c r="A36" s="306" t="s">
        <v>24</v>
      </c>
      <c r="B36" s="668">
        <v>29669.233288000018</v>
      </c>
      <c r="C36" s="668">
        <v>29669.233288000018</v>
      </c>
      <c r="D36" s="668">
        <v>31988.182136000018</v>
      </c>
      <c r="E36" s="668">
        <v>31335.917288000026</v>
      </c>
      <c r="F36" s="668">
        <v>48690.694549999986</v>
      </c>
    </row>
    <row r="37" spans="1:6" ht="15" customHeight="1" x14ac:dyDescent="0.3">
      <c r="A37" s="306" t="s">
        <v>25</v>
      </c>
      <c r="B37" s="668">
        <v>0</v>
      </c>
      <c r="C37" s="668">
        <v>0</v>
      </c>
      <c r="D37" s="668">
        <v>0</v>
      </c>
      <c r="E37" s="668">
        <v>60188.798000000003</v>
      </c>
      <c r="F37" s="668">
        <v>58182.513694000001</v>
      </c>
    </row>
    <row r="38" spans="1:6" ht="15" customHeight="1" x14ac:dyDescent="0.3">
      <c r="A38" s="307" t="s">
        <v>26</v>
      </c>
      <c r="B38" s="668">
        <v>1197846.247794</v>
      </c>
      <c r="C38" s="668">
        <v>1163779.361244</v>
      </c>
      <c r="D38" s="668">
        <v>1129712.4746940001</v>
      </c>
      <c r="E38" s="668">
        <v>1136810.4248560001</v>
      </c>
      <c r="F38" s="668">
        <v>1115129.2316319998</v>
      </c>
    </row>
    <row r="39" spans="1:6" ht="15" customHeight="1" x14ac:dyDescent="0.3">
      <c r="A39" s="327" t="s">
        <v>27</v>
      </c>
      <c r="B39" s="555">
        <f>SUM(B33:B38)</f>
        <v>1283582.139438</v>
      </c>
      <c r="C39" s="555">
        <f>SUM(C33:C38)</f>
        <v>1249515.2528880001</v>
      </c>
      <c r="D39" s="555">
        <f>SUM(D33:D38)</f>
        <v>1217767.315186</v>
      </c>
      <c r="E39" s="555">
        <f>SUM(E33:E38)</f>
        <v>1284401.7985</v>
      </c>
      <c r="F39" s="555">
        <f>SUM(F33:F38)</f>
        <v>1263856.1816019998</v>
      </c>
    </row>
    <row r="40" spans="1:6" ht="15" customHeight="1" x14ac:dyDescent="0.3">
      <c r="A40" s="330"/>
      <c r="B40" s="669"/>
      <c r="C40" s="559"/>
      <c r="D40" s="390"/>
      <c r="E40" s="390"/>
      <c r="F40" s="390"/>
    </row>
    <row r="41" spans="1:6" ht="15" customHeight="1" x14ac:dyDescent="0.3">
      <c r="A41" s="322" t="s">
        <v>28</v>
      </c>
      <c r="B41" s="665">
        <v>0</v>
      </c>
      <c r="C41" s="665">
        <v>0</v>
      </c>
      <c r="D41" s="665">
        <v>0</v>
      </c>
      <c r="E41" s="665">
        <v>0</v>
      </c>
      <c r="F41" s="665">
        <v>0</v>
      </c>
    </row>
    <row r="42" spans="1:6" ht="15" customHeight="1" x14ac:dyDescent="0.3">
      <c r="A42" s="331"/>
      <c r="B42" s="667"/>
      <c r="C42" s="558"/>
      <c r="D42" s="388"/>
      <c r="E42" s="388"/>
      <c r="F42" s="388"/>
    </row>
    <row r="43" spans="1:6" ht="15" customHeight="1" x14ac:dyDescent="0.3">
      <c r="A43" s="327" t="s">
        <v>29</v>
      </c>
      <c r="B43" s="555">
        <f>B20+B30+B39+B41</f>
        <v>21334498.838846002</v>
      </c>
      <c r="C43" s="555">
        <f>C20+C39</f>
        <v>22374937.696932007</v>
      </c>
      <c r="D43" s="555">
        <f>D20+D39</f>
        <v>21962659.081322003</v>
      </c>
      <c r="E43" s="555">
        <f>E20+E39</f>
        <v>21149584.792103998</v>
      </c>
      <c r="F43" s="555">
        <f>F20+F39</f>
        <v>20470112.429966003</v>
      </c>
    </row>
    <row r="44" spans="1:6" ht="15" customHeight="1" x14ac:dyDescent="0.3">
      <c r="A44" s="332"/>
      <c r="B44" s="670"/>
      <c r="C44" s="560"/>
      <c r="D44" s="398"/>
      <c r="E44" s="398"/>
      <c r="F44" s="398"/>
    </row>
    <row r="45" spans="1:6" ht="15" customHeight="1" x14ac:dyDescent="0.3">
      <c r="A45" s="322" t="s">
        <v>30</v>
      </c>
      <c r="B45" s="668"/>
      <c r="C45" s="557"/>
      <c r="D45" s="385"/>
      <c r="E45" s="385"/>
      <c r="F45" s="385"/>
    </row>
    <row r="46" spans="1:6" ht="15" customHeight="1" x14ac:dyDescent="0.3">
      <c r="A46" s="333"/>
      <c r="B46" s="668"/>
      <c r="C46" s="557"/>
      <c r="D46" s="385"/>
      <c r="E46" s="385"/>
      <c r="F46" s="385"/>
    </row>
    <row r="47" spans="1:6" ht="15" customHeight="1" x14ac:dyDescent="0.3">
      <c r="A47" s="322" t="s">
        <v>31</v>
      </c>
      <c r="B47" s="665"/>
      <c r="C47" s="554"/>
      <c r="D47" s="371"/>
      <c r="E47" s="371"/>
      <c r="F47" s="371"/>
    </row>
    <row r="48" spans="1:6" ht="15" customHeight="1" x14ac:dyDescent="0.3">
      <c r="A48" s="306" t="s">
        <v>32</v>
      </c>
      <c r="B48" s="668">
        <v>87236.471766000002</v>
      </c>
      <c r="C48" s="668">
        <v>78555.816972000001</v>
      </c>
      <c r="D48" s="668">
        <v>80677.640114000009</v>
      </c>
      <c r="E48" s="668">
        <v>78304.255216000005</v>
      </c>
      <c r="F48" s="668">
        <v>85350.269354000004</v>
      </c>
    </row>
    <row r="49" spans="1:6" ht="15" customHeight="1" x14ac:dyDescent="0.3">
      <c r="A49" s="334" t="s">
        <v>50</v>
      </c>
      <c r="B49" s="668">
        <v>0</v>
      </c>
      <c r="C49" s="668">
        <v>0</v>
      </c>
      <c r="D49" s="668">
        <v>0</v>
      </c>
      <c r="E49" s="668">
        <v>0</v>
      </c>
      <c r="F49" s="668">
        <v>0</v>
      </c>
    </row>
    <row r="50" spans="1:6" ht="15" customHeight="1" x14ac:dyDescent="0.3">
      <c r="A50" s="334" t="s">
        <v>108</v>
      </c>
      <c r="B50" s="668">
        <v>4034.396796</v>
      </c>
      <c r="C50" s="668">
        <v>0.53764000000000001</v>
      </c>
      <c r="D50" s="668">
        <v>4137.4086200000002</v>
      </c>
      <c r="E50" s="668">
        <v>3829.0720800000004</v>
      </c>
      <c r="F50" s="668">
        <v>0</v>
      </c>
    </row>
    <row r="51" spans="1:6" ht="15" customHeight="1" x14ac:dyDescent="0.3">
      <c r="A51" s="334" t="s">
        <v>109</v>
      </c>
      <c r="B51" s="668">
        <v>0</v>
      </c>
      <c r="C51" s="668">
        <v>0</v>
      </c>
      <c r="D51" s="668">
        <v>0</v>
      </c>
      <c r="E51" s="668">
        <v>0</v>
      </c>
      <c r="F51" s="668">
        <v>0</v>
      </c>
    </row>
    <row r="52" spans="1:6" ht="15" customHeight="1" x14ac:dyDescent="0.3">
      <c r="A52" s="334" t="s">
        <v>33</v>
      </c>
      <c r="B52" s="668">
        <v>8.0646000000000009E-2</v>
      </c>
      <c r="C52" s="668">
        <v>0.10752800000000001</v>
      </c>
      <c r="D52" s="668">
        <v>0</v>
      </c>
      <c r="E52" s="668">
        <v>-36.586402</v>
      </c>
      <c r="F52" s="668">
        <v>0</v>
      </c>
    </row>
    <row r="53" spans="1:6" ht="15" customHeight="1" x14ac:dyDescent="0.3">
      <c r="A53" s="334" t="s">
        <v>34</v>
      </c>
      <c r="B53" s="668">
        <v>13778455.229928</v>
      </c>
      <c r="C53" s="668">
        <v>13947112.333405999</v>
      </c>
      <c r="D53" s="668">
        <v>14052417.890937999</v>
      </c>
      <c r="E53" s="668">
        <v>14024912.92747</v>
      </c>
      <c r="F53" s="668">
        <v>14002976.409010002</v>
      </c>
    </row>
    <row r="54" spans="1:6" ht="15" customHeight="1" x14ac:dyDescent="0.3">
      <c r="A54" s="306" t="s">
        <v>35</v>
      </c>
      <c r="B54" s="668">
        <v>101252.020752</v>
      </c>
      <c r="C54" s="668">
        <v>85509.545203999995</v>
      </c>
      <c r="D54" s="668">
        <v>115854.96832</v>
      </c>
      <c r="E54" s="668">
        <v>108134.59233</v>
      </c>
      <c r="F54" s="668">
        <v>147173.22413400002</v>
      </c>
    </row>
    <row r="55" spans="1:6" ht="15" customHeight="1" x14ac:dyDescent="0.3">
      <c r="A55" s="306" t="s">
        <v>36</v>
      </c>
      <c r="B55" s="668">
        <v>0</v>
      </c>
      <c r="C55" s="668">
        <v>0</v>
      </c>
      <c r="D55" s="668">
        <v>0</v>
      </c>
      <c r="E55" s="668">
        <v>0</v>
      </c>
      <c r="F55" s="668">
        <v>0</v>
      </c>
    </row>
    <row r="56" spans="1:6" ht="15" customHeight="1" x14ac:dyDescent="0.3">
      <c r="A56" s="307" t="s">
        <v>37</v>
      </c>
      <c r="B56" s="668">
        <v>208304.53193600001</v>
      </c>
      <c r="C56" s="668">
        <v>24136.326284000002</v>
      </c>
      <c r="D56" s="668">
        <v>24136.326284000002</v>
      </c>
      <c r="E56" s="668">
        <v>24136.326284000002</v>
      </c>
      <c r="F56" s="668">
        <v>250348.59822200003</v>
      </c>
    </row>
    <row r="57" spans="1:6" ht="15" customHeight="1" x14ac:dyDescent="0.3">
      <c r="A57" s="327" t="s">
        <v>38</v>
      </c>
      <c r="B57" s="555">
        <f>SUM(B48:B56)</f>
        <v>14179282.731823999</v>
      </c>
      <c r="C57" s="555">
        <f t="shared" ref="C57:F57" si="2">SUM(C48:C56)</f>
        <v>14135314.667034</v>
      </c>
      <c r="D57" s="555">
        <f t="shared" si="2"/>
        <v>14277224.234276</v>
      </c>
      <c r="E57" s="555">
        <f t="shared" si="2"/>
        <v>14239280.586978</v>
      </c>
      <c r="F57" s="555">
        <f t="shared" si="2"/>
        <v>14485848.500720004</v>
      </c>
    </row>
    <row r="58" spans="1:6" ht="15" customHeight="1" x14ac:dyDescent="0.3">
      <c r="A58" s="335"/>
      <c r="B58" s="666"/>
      <c r="C58" s="556"/>
      <c r="D58" s="380"/>
      <c r="E58" s="380"/>
      <c r="F58" s="380"/>
    </row>
    <row r="59" spans="1:6" ht="15" customHeight="1" x14ac:dyDescent="0.3">
      <c r="A59" s="322" t="s">
        <v>39</v>
      </c>
      <c r="B59" s="668"/>
      <c r="C59" s="557"/>
      <c r="D59" s="385"/>
      <c r="E59" s="385"/>
      <c r="F59" s="385"/>
    </row>
    <row r="60" spans="1:6" ht="15" customHeight="1" x14ac:dyDescent="0.3">
      <c r="A60" s="306" t="s">
        <v>117</v>
      </c>
      <c r="B60" s="668">
        <v>0</v>
      </c>
      <c r="C60" s="668">
        <v>0</v>
      </c>
      <c r="D60" s="668">
        <v>0</v>
      </c>
      <c r="E60" s="668">
        <v>0</v>
      </c>
      <c r="F60" s="668">
        <v>0</v>
      </c>
    </row>
    <row r="61" spans="1:6" ht="15" customHeight="1" x14ac:dyDescent="0.3">
      <c r="A61" s="306" t="s">
        <v>40</v>
      </c>
      <c r="B61" s="668">
        <v>599355.72248200001</v>
      </c>
      <c r="C61" s="668">
        <v>599355.72248200001</v>
      </c>
      <c r="D61" s="668">
        <v>599355.72248200001</v>
      </c>
      <c r="E61" s="668">
        <v>599355.72248200001</v>
      </c>
      <c r="F61" s="668">
        <v>461282.02846600005</v>
      </c>
    </row>
    <row r="62" spans="1:6" ht="15" customHeight="1" x14ac:dyDescent="0.3">
      <c r="A62" s="308"/>
      <c r="B62" s="667"/>
      <c r="C62" s="558"/>
      <c r="D62" s="388"/>
      <c r="E62" s="388"/>
      <c r="F62" s="388"/>
    </row>
    <row r="63" spans="1:6" ht="15" customHeight="1" x14ac:dyDescent="0.3">
      <c r="A63" s="327" t="s">
        <v>41</v>
      </c>
      <c r="B63" s="555">
        <f>SUM(B60:B62)</f>
        <v>599355.72248200001</v>
      </c>
      <c r="C63" s="555">
        <f>SUM(C60:C62)</f>
        <v>599355.72248200001</v>
      </c>
      <c r="D63" s="555">
        <f>SUM(D60:D62)</f>
        <v>599355.72248200001</v>
      </c>
      <c r="E63" s="555">
        <f>SUM(E60:E62)</f>
        <v>599355.72248200001</v>
      </c>
      <c r="F63" s="555">
        <f>SUM(F60:F62)</f>
        <v>461282.02846600005</v>
      </c>
    </row>
    <row r="64" spans="1:6" ht="15" customHeight="1" x14ac:dyDescent="0.3">
      <c r="A64" s="335"/>
      <c r="B64" s="666"/>
      <c r="C64" s="556"/>
      <c r="D64" s="380"/>
      <c r="E64" s="380"/>
      <c r="F64" s="380"/>
    </row>
    <row r="65" spans="1:6" ht="15" customHeight="1" x14ac:dyDescent="0.3">
      <c r="A65" s="322" t="s">
        <v>42</v>
      </c>
      <c r="B65" s="668"/>
      <c r="C65" s="557"/>
      <c r="D65" s="385"/>
      <c r="E65" s="385"/>
      <c r="F65" s="385"/>
    </row>
    <row r="66" spans="1:6" ht="15" customHeight="1" x14ac:dyDescent="0.3">
      <c r="A66" s="306" t="s">
        <v>43</v>
      </c>
      <c r="B66" s="668">
        <v>0</v>
      </c>
      <c r="C66" s="668">
        <v>0</v>
      </c>
      <c r="D66" s="668">
        <v>0</v>
      </c>
      <c r="E66" s="668">
        <v>0</v>
      </c>
      <c r="F66" s="668">
        <v>0</v>
      </c>
    </row>
    <row r="67" spans="1:6" ht="15" customHeight="1" x14ac:dyDescent="0.3">
      <c r="A67" s="306" t="s">
        <v>44</v>
      </c>
      <c r="B67" s="668">
        <v>0</v>
      </c>
      <c r="C67" s="668">
        <v>0</v>
      </c>
      <c r="D67" s="668">
        <v>0</v>
      </c>
      <c r="E67" s="668">
        <v>0</v>
      </c>
      <c r="F67" s="668">
        <v>0</v>
      </c>
    </row>
    <row r="68" spans="1:6" ht="15" customHeight="1" x14ac:dyDescent="0.3">
      <c r="A68" s="306" t="s">
        <v>45</v>
      </c>
      <c r="B68" s="668">
        <v>7126052.8198560001</v>
      </c>
      <c r="C68" s="668">
        <v>6555621.2153860005</v>
      </c>
      <c r="D68" s="668">
        <v>6555621.2153860005</v>
      </c>
      <c r="E68" s="668">
        <v>6555621.2153860005</v>
      </c>
      <c r="F68" s="668">
        <v>6555621.2153860005</v>
      </c>
    </row>
    <row r="69" spans="1:6" ht="15" customHeight="1" x14ac:dyDescent="0.3">
      <c r="A69" s="307" t="s">
        <v>46</v>
      </c>
      <c r="B69" s="668">
        <v>-570192.43531600002</v>
      </c>
      <c r="C69" s="668">
        <v>1084646.0920300002</v>
      </c>
      <c r="D69" s="668">
        <v>530457.90917800006</v>
      </c>
      <c r="E69" s="668">
        <v>-244672.73274199999</v>
      </c>
      <c r="F69" s="668">
        <v>-1032639.3146060001</v>
      </c>
    </row>
    <row r="70" spans="1:6" ht="15" customHeight="1" x14ac:dyDescent="0.3">
      <c r="A70" s="327" t="s">
        <v>47</v>
      </c>
      <c r="B70" s="555">
        <f>SUM(B66:B69)</f>
        <v>6555860.38454</v>
      </c>
      <c r="C70" s="555">
        <f t="shared" ref="C70:F70" si="3">SUM(C66:C69)</f>
        <v>7640267.3074160004</v>
      </c>
      <c r="D70" s="555">
        <f>SUM(D66:D69)</f>
        <v>7086079.1245640004</v>
      </c>
      <c r="E70" s="555">
        <f t="shared" si="3"/>
        <v>6310948.4826440001</v>
      </c>
      <c r="F70" s="555">
        <f t="shared" si="3"/>
        <v>5522981.9007800007</v>
      </c>
    </row>
    <row r="71" spans="1:6" ht="15.75" customHeight="1" x14ac:dyDescent="0.3">
      <c r="A71" s="336"/>
      <c r="B71" s="671"/>
      <c r="C71" s="671"/>
      <c r="D71" s="671"/>
      <c r="E71" s="671"/>
      <c r="F71" s="671"/>
    </row>
    <row r="72" spans="1:6" ht="16.5" customHeight="1" thickBot="1" x14ac:dyDescent="0.35">
      <c r="A72" s="337" t="s">
        <v>48</v>
      </c>
      <c r="B72" s="561">
        <f>B70+B63+B57</f>
        <v>21334498.838845998</v>
      </c>
      <c r="C72" s="561">
        <f>C70+C63+C57</f>
        <v>22374937.696932003</v>
      </c>
      <c r="D72" s="561">
        <f>D70+D63+D57</f>
        <v>21962659.081321999</v>
      </c>
      <c r="E72" s="561">
        <f>E70+E63+E57</f>
        <v>21149584.792103998</v>
      </c>
      <c r="F72" s="561">
        <f>F70+F63+F57</f>
        <v>20470112.429966003</v>
      </c>
    </row>
    <row r="76" spans="1:6" ht="15.75" customHeight="1" x14ac:dyDescent="0.3">
      <c r="C76" s="672"/>
      <c r="D76" s="672"/>
      <c r="E76" s="672"/>
      <c r="F76" s="672"/>
    </row>
  </sheetData>
  <sheetProtection algorithmName="SHA-512" hashValue="DpmK9/KMmZobyaO8wdSAp7I/uMBCq5LTNukLejTFCM/ekJqwQPJQ0u7N4HcroM1Y5omqhG+JZm0mLvz0sBKCdQ==" saltValue="cvaZpf9Rzd2nUEwgC7Mk7w==" spinCount="100000" sheet="1" objects="1" scenarios="1"/>
  <mergeCells count="6">
    <mergeCell ref="A7:F7"/>
    <mergeCell ref="A1:F1"/>
    <mergeCell ref="A3:F3"/>
    <mergeCell ref="A4:F4"/>
    <mergeCell ref="A5:F5"/>
    <mergeCell ref="A6:F6"/>
  </mergeCells>
  <pageMargins left="0.7" right="0.7" top="0.75" bottom="0.75" header="0.3" footer="0.3"/>
  <pageSetup scale="69" fitToHeight="0" orientation="portrait" horizontalDpi="300" verticalDpi="300"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59999389629810485"/>
  </sheetPr>
  <dimension ref="A1:AE83"/>
  <sheetViews>
    <sheetView zoomScale="60" zoomScaleNormal="60" zoomScaleSheetLayoutView="70" workbookViewId="0">
      <pane xSplit="1" ySplit="11" topLeftCell="O45" activePane="bottomRight" state="frozen"/>
      <selection pane="topRight" activeCell="B1" sqref="B1"/>
      <selection pane="bottomLeft" activeCell="A12" sqref="A12"/>
      <selection pane="bottomRight" activeCell="X72" sqref="X72"/>
    </sheetView>
  </sheetViews>
  <sheetFormatPr defaultRowHeight="18.75" x14ac:dyDescent="0.3"/>
  <cols>
    <col min="1" max="1" width="53.42578125" style="49" customWidth="1"/>
    <col min="2" max="4" width="13.28515625" style="414" customWidth="1"/>
    <col min="5" max="5" width="10.5703125" style="49" customWidth="1"/>
    <col min="6" max="6" width="1.5703125" style="49" customWidth="1"/>
    <col min="7" max="9" width="13.85546875" style="414" customWidth="1"/>
    <col min="10" max="10" width="9" style="49" customWidth="1"/>
    <col min="11" max="11" width="1.140625" style="49" customWidth="1"/>
    <col min="12" max="14" width="12.140625" style="414" customWidth="1"/>
    <col min="15" max="15" width="9.28515625" style="49" customWidth="1"/>
    <col min="16" max="16" width="1" style="49" customWidth="1"/>
    <col min="17" max="19" width="12.42578125" style="414" customWidth="1"/>
    <col min="20" max="20" width="9.5703125" style="49" customWidth="1"/>
    <col min="21" max="21" width="1.28515625" style="49" customWidth="1"/>
    <col min="22" max="24" width="12.5703125" style="414" customWidth="1"/>
    <col min="25" max="25" width="9.7109375" style="49" customWidth="1"/>
    <col min="26" max="26" width="1" style="49" customWidth="1"/>
    <col min="27" max="28" width="12.85546875" style="414" customWidth="1"/>
    <col min="29" max="29" width="13.7109375" style="49" customWidth="1"/>
    <col min="30" max="30" width="1" style="49" customWidth="1"/>
    <col min="31" max="31" width="74.7109375" style="49" customWidth="1"/>
    <col min="32" max="16384" width="9.140625" style="49"/>
  </cols>
  <sheetData>
    <row r="1" spans="1:31" x14ac:dyDescent="0.3">
      <c r="A1" s="1431" t="s">
        <v>49</v>
      </c>
      <c r="B1" s="1432"/>
      <c r="C1" s="1432"/>
      <c r="D1" s="1432"/>
      <c r="E1" s="1432"/>
      <c r="F1" s="1432"/>
      <c r="G1" s="1432"/>
      <c r="H1" s="1432"/>
      <c r="I1" s="415"/>
      <c r="J1" s="496"/>
      <c r="K1" s="89"/>
      <c r="L1" s="416"/>
      <c r="M1" s="416"/>
      <c r="N1" s="416"/>
      <c r="O1" s="89"/>
      <c r="P1" s="120"/>
      <c r="Q1" s="415"/>
      <c r="R1" s="417"/>
      <c r="S1" s="429"/>
      <c r="T1" s="497"/>
      <c r="U1" s="120"/>
      <c r="V1" s="430"/>
      <c r="W1" s="430"/>
      <c r="X1" s="430"/>
      <c r="Y1" s="120"/>
      <c r="Z1" s="120"/>
      <c r="AA1" s="430"/>
      <c r="AB1" s="430"/>
      <c r="AC1" s="120"/>
      <c r="AD1" s="120"/>
      <c r="AE1" s="124"/>
    </row>
    <row r="2" spans="1:31" x14ac:dyDescent="0.3">
      <c r="A2" s="125"/>
      <c r="B2" s="418"/>
      <c r="C2" s="418"/>
      <c r="D2" s="418"/>
      <c r="E2" s="96"/>
      <c r="F2" s="96"/>
      <c r="G2" s="418"/>
      <c r="H2" s="418"/>
      <c r="I2" s="418"/>
      <c r="J2" s="96"/>
      <c r="K2" s="97"/>
      <c r="L2" s="357"/>
      <c r="M2" s="357"/>
      <c r="N2" s="357"/>
      <c r="O2" s="97"/>
      <c r="P2" s="97"/>
      <c r="Q2" s="418"/>
      <c r="R2" s="419"/>
      <c r="S2" s="431"/>
      <c r="T2" s="498"/>
      <c r="U2" s="97"/>
      <c r="V2" s="432"/>
      <c r="W2" s="432"/>
      <c r="X2" s="432"/>
      <c r="Y2" s="134"/>
      <c r="Z2" s="97"/>
      <c r="AA2" s="432"/>
      <c r="AB2" s="432"/>
      <c r="AC2" s="134"/>
      <c r="AD2" s="97"/>
      <c r="AE2" s="129"/>
    </row>
    <row r="3" spans="1:31" s="52" customFormat="1" x14ac:dyDescent="0.3">
      <c r="A3" s="1433" t="s">
        <v>190</v>
      </c>
      <c r="B3" s="1434"/>
      <c r="C3" s="1434"/>
      <c r="D3" s="1434"/>
      <c r="E3" s="1434"/>
      <c r="F3" s="1434"/>
      <c r="G3" s="1434"/>
      <c r="H3" s="1434"/>
      <c r="I3" s="420"/>
      <c r="J3" s="499"/>
      <c r="K3" s="103"/>
      <c r="L3" s="421"/>
      <c r="M3" s="421"/>
      <c r="N3" s="421"/>
      <c r="O3" s="103"/>
      <c r="P3" s="130"/>
      <c r="Q3" s="420"/>
      <c r="R3" s="422"/>
      <c r="S3" s="428"/>
      <c r="T3" s="500"/>
      <c r="U3" s="130"/>
      <c r="V3" s="433"/>
      <c r="W3" s="433"/>
      <c r="X3" s="433"/>
      <c r="Y3" s="130"/>
      <c r="Z3" s="130"/>
      <c r="AA3" s="433"/>
      <c r="AB3" s="433"/>
      <c r="AC3" s="130"/>
      <c r="AD3" s="130"/>
      <c r="AE3" s="133"/>
    </row>
    <row r="4" spans="1:31" x14ac:dyDescent="0.3">
      <c r="A4" s="1435" t="s">
        <v>51</v>
      </c>
      <c r="B4" s="1436"/>
      <c r="C4" s="1436"/>
      <c r="D4" s="1436"/>
      <c r="E4" s="1436"/>
      <c r="F4" s="1436"/>
      <c r="G4" s="1436"/>
      <c r="H4" s="1436"/>
      <c r="I4" s="418"/>
      <c r="J4" s="501"/>
      <c r="K4" s="108"/>
      <c r="L4" s="423"/>
      <c r="M4" s="423"/>
      <c r="N4" s="423"/>
      <c r="O4" s="108"/>
      <c r="P4" s="134"/>
      <c r="Q4" s="424"/>
      <c r="R4" s="425"/>
      <c r="S4" s="431"/>
      <c r="T4" s="502"/>
      <c r="U4" s="134"/>
      <c r="V4" s="432"/>
      <c r="W4" s="432"/>
      <c r="X4" s="432"/>
      <c r="Y4" s="134"/>
      <c r="Z4" s="134"/>
      <c r="AA4" s="432"/>
      <c r="AB4" s="432"/>
      <c r="AC4" s="134"/>
      <c r="AD4" s="134"/>
      <c r="AE4" s="129"/>
    </row>
    <row r="5" spans="1:31" x14ac:dyDescent="0.3">
      <c r="A5" s="1435" t="s">
        <v>52</v>
      </c>
      <c r="B5" s="1437"/>
      <c r="C5" s="1437"/>
      <c r="D5" s="1437"/>
      <c r="E5" s="1437"/>
      <c r="F5" s="1437"/>
      <c r="G5" s="1437"/>
      <c r="H5" s="1437"/>
      <c r="I5" s="418"/>
      <c r="J5" s="96"/>
      <c r="K5" s="108"/>
      <c r="L5" s="423"/>
      <c r="M5" s="423"/>
      <c r="N5" s="423"/>
      <c r="O5" s="108"/>
      <c r="P5" s="134"/>
      <c r="Q5" s="424"/>
      <c r="R5" s="425"/>
      <c r="S5" s="431"/>
      <c r="T5" s="502"/>
      <c r="U5" s="134"/>
      <c r="V5" s="432"/>
      <c r="W5" s="432"/>
      <c r="X5" s="432"/>
      <c r="Y5" s="134"/>
      <c r="Z5" s="134"/>
      <c r="AA5" s="432"/>
      <c r="AB5" s="432"/>
      <c r="AC5" s="134"/>
      <c r="AD5" s="134"/>
      <c r="AE5" s="129"/>
    </row>
    <row r="6" spans="1:31" s="52" customFormat="1" x14ac:dyDescent="0.3">
      <c r="A6" s="1433" t="s">
        <v>194</v>
      </c>
      <c r="B6" s="1468"/>
      <c r="C6" s="1468"/>
      <c r="D6" s="1468"/>
      <c r="E6" s="1468"/>
      <c r="F6" s="1468"/>
      <c r="G6" s="1468"/>
      <c r="H6" s="1468"/>
      <c r="I6" s="420"/>
      <c r="J6" s="499"/>
      <c r="K6" s="114"/>
      <c r="L6" s="426"/>
      <c r="M6" s="426"/>
      <c r="N6" s="426"/>
      <c r="O6" s="114"/>
      <c r="P6" s="130"/>
      <c r="Q6" s="427"/>
      <c r="R6" s="428"/>
      <c r="S6" s="428"/>
      <c r="T6" s="503"/>
      <c r="U6" s="130"/>
      <c r="V6" s="433"/>
      <c r="W6" s="433"/>
      <c r="X6" s="433"/>
      <c r="Y6" s="130"/>
      <c r="Z6" s="130"/>
      <c r="AA6" s="421"/>
      <c r="AB6" s="421"/>
      <c r="AC6" s="130"/>
      <c r="AD6" s="130"/>
      <c r="AE6" s="133"/>
    </row>
    <row r="7" spans="1:31" s="52" customFormat="1" x14ac:dyDescent="0.3">
      <c r="A7" s="1429" t="s">
        <v>2</v>
      </c>
      <c r="B7" s="1430"/>
      <c r="C7" s="1430"/>
      <c r="D7" s="1430"/>
      <c r="E7" s="1430"/>
      <c r="F7" s="1430"/>
      <c r="G7" s="1430"/>
      <c r="H7" s="1430"/>
      <c r="I7" s="420"/>
      <c r="J7" s="504"/>
      <c r="K7" s="114"/>
      <c r="L7" s="426"/>
      <c r="M7" s="426"/>
      <c r="N7" s="426"/>
      <c r="O7" s="114"/>
      <c r="P7" s="130"/>
      <c r="Q7" s="427"/>
      <c r="R7" s="428"/>
      <c r="S7" s="428"/>
      <c r="T7" s="503"/>
      <c r="U7" s="130"/>
      <c r="V7" s="433"/>
      <c r="W7" s="433"/>
      <c r="X7" s="433"/>
      <c r="Y7" s="130"/>
      <c r="Z7" s="130"/>
      <c r="AA7" s="433"/>
      <c r="AB7" s="433"/>
      <c r="AC7" s="130"/>
      <c r="AD7" s="130"/>
      <c r="AE7" s="133"/>
    </row>
    <row r="8" spans="1:31" ht="19.5" thickBot="1" x14ac:dyDescent="0.35">
      <c r="A8" s="135" t="s">
        <v>173</v>
      </c>
      <c r="B8" s="434"/>
      <c r="C8" s="432"/>
      <c r="D8" s="432"/>
      <c r="E8" s="134"/>
      <c r="F8" s="138"/>
      <c r="G8" s="432"/>
      <c r="H8" s="432"/>
      <c r="I8" s="432"/>
      <c r="J8" s="134"/>
      <c r="K8" s="138"/>
      <c r="L8" s="432"/>
      <c r="M8" s="432"/>
      <c r="N8" s="432"/>
      <c r="O8" s="134"/>
      <c r="P8" s="138"/>
      <c r="Q8" s="432"/>
      <c r="R8" s="432"/>
      <c r="S8" s="432"/>
      <c r="T8" s="134"/>
      <c r="U8" s="138"/>
      <c r="V8" s="432"/>
      <c r="W8" s="432"/>
      <c r="X8" s="432"/>
      <c r="Y8" s="134"/>
      <c r="Z8" s="138"/>
      <c r="AA8" s="432"/>
      <c r="AB8" s="432"/>
      <c r="AC8" s="134"/>
      <c r="AD8" s="138"/>
      <c r="AE8" s="139"/>
    </row>
    <row r="9" spans="1:31" x14ac:dyDescent="0.3">
      <c r="A9" s="140"/>
      <c r="B9" s="1454" t="s">
        <v>53</v>
      </c>
      <c r="C9" s="1448"/>
      <c r="D9" s="1448"/>
      <c r="E9" s="1449"/>
      <c r="F9" s="141"/>
      <c r="G9" s="1454" t="s">
        <v>54</v>
      </c>
      <c r="H9" s="1448"/>
      <c r="I9" s="1448"/>
      <c r="J9" s="1449"/>
      <c r="K9" s="141"/>
      <c r="L9" s="1455" t="s">
        <v>55</v>
      </c>
      <c r="M9" s="1456"/>
      <c r="N9" s="1456"/>
      <c r="O9" s="1457"/>
      <c r="P9" s="141"/>
      <c r="Q9" s="1454" t="s">
        <v>56</v>
      </c>
      <c r="R9" s="1448"/>
      <c r="S9" s="1448"/>
      <c r="T9" s="1449"/>
      <c r="U9" s="141"/>
      <c r="V9" s="1455" t="s">
        <v>57</v>
      </c>
      <c r="W9" s="1456"/>
      <c r="X9" s="1456"/>
      <c r="Y9" s="1457"/>
      <c r="Z9" s="141"/>
      <c r="AA9" s="1455" t="s">
        <v>196</v>
      </c>
      <c r="AB9" s="1456"/>
      <c r="AC9" s="1457"/>
      <c r="AD9" s="142"/>
      <c r="AE9" s="1439" t="s">
        <v>58</v>
      </c>
    </row>
    <row r="10" spans="1:31" ht="37.5" x14ac:dyDescent="0.3">
      <c r="A10" s="143" t="s">
        <v>59</v>
      </c>
      <c r="B10" s="436" t="s">
        <v>60</v>
      </c>
      <c r="C10" s="437" t="s">
        <v>61</v>
      </c>
      <c r="D10" s="1445" t="s">
        <v>62</v>
      </c>
      <c r="E10" s="1442"/>
      <c r="F10" s="145"/>
      <c r="G10" s="436" t="s">
        <v>60</v>
      </c>
      <c r="H10" s="437" t="s">
        <v>61</v>
      </c>
      <c r="I10" s="1445" t="s">
        <v>62</v>
      </c>
      <c r="J10" s="1442"/>
      <c r="K10" s="145"/>
      <c r="L10" s="436" t="s">
        <v>60</v>
      </c>
      <c r="M10" s="437" t="s">
        <v>61</v>
      </c>
      <c r="N10" s="1445" t="s">
        <v>62</v>
      </c>
      <c r="O10" s="1442"/>
      <c r="P10" s="145"/>
      <c r="Q10" s="436" t="s">
        <v>60</v>
      </c>
      <c r="R10" s="437" t="s">
        <v>61</v>
      </c>
      <c r="S10" s="1445" t="s">
        <v>62</v>
      </c>
      <c r="T10" s="1442"/>
      <c r="U10" s="145"/>
      <c r="V10" s="436" t="s">
        <v>60</v>
      </c>
      <c r="W10" s="437" t="s">
        <v>61</v>
      </c>
      <c r="X10" s="1445" t="s">
        <v>62</v>
      </c>
      <c r="Y10" s="1442"/>
      <c r="Z10" s="145"/>
      <c r="AA10" s="438" t="s">
        <v>63</v>
      </c>
      <c r="AB10" s="1445" t="s">
        <v>64</v>
      </c>
      <c r="AC10" s="1442"/>
      <c r="AD10" s="149"/>
      <c r="AE10" s="1440"/>
    </row>
    <row r="11" spans="1:31" ht="19.5" thickBot="1" x14ac:dyDescent="0.35">
      <c r="A11" s="551"/>
      <c r="B11" s="663" t="s">
        <v>107</v>
      </c>
      <c r="C11" s="629" t="s">
        <v>107</v>
      </c>
      <c r="D11" s="630" t="s">
        <v>107</v>
      </c>
      <c r="E11" s="509" t="s">
        <v>65</v>
      </c>
      <c r="F11" s="154"/>
      <c r="G11" s="656" t="s">
        <v>107</v>
      </c>
      <c r="H11" s="657" t="s">
        <v>107</v>
      </c>
      <c r="I11" s="658" t="s">
        <v>107</v>
      </c>
      <c r="J11" s="510" t="s">
        <v>65</v>
      </c>
      <c r="K11" s="154"/>
      <c r="L11" s="656" t="s">
        <v>107</v>
      </c>
      <c r="M11" s="657" t="s">
        <v>107</v>
      </c>
      <c r="N11" s="658" t="s">
        <v>107</v>
      </c>
      <c r="O11" s="510" t="s">
        <v>65</v>
      </c>
      <c r="P11" s="154"/>
      <c r="Q11" s="656" t="s">
        <v>107</v>
      </c>
      <c r="R11" s="657" t="s">
        <v>107</v>
      </c>
      <c r="S11" s="658" t="s">
        <v>107</v>
      </c>
      <c r="T11" s="510" t="s">
        <v>65</v>
      </c>
      <c r="U11" s="154"/>
      <c r="V11" s="656" t="s">
        <v>107</v>
      </c>
      <c r="W11" s="657" t="s">
        <v>107</v>
      </c>
      <c r="X11" s="658" t="s">
        <v>107</v>
      </c>
      <c r="Y11" s="510" t="s">
        <v>65</v>
      </c>
      <c r="Z11" s="154"/>
      <c r="AA11" s="656" t="s">
        <v>107</v>
      </c>
      <c r="AB11" s="658" t="s">
        <v>107</v>
      </c>
      <c r="AC11" s="510" t="s">
        <v>65</v>
      </c>
      <c r="AD11" s="162"/>
      <c r="AE11" s="1475"/>
    </row>
    <row r="12" spans="1:31" ht="19.5" thickBot="1" x14ac:dyDescent="0.35">
      <c r="A12" s="163"/>
      <c r="B12" s="659"/>
      <c r="C12" s="660"/>
      <c r="D12" s="633"/>
      <c r="E12" s="512"/>
      <c r="F12" s="167"/>
      <c r="G12" s="659"/>
      <c r="H12" s="660"/>
      <c r="I12" s="633"/>
      <c r="J12" s="512"/>
      <c r="K12" s="167"/>
      <c r="L12" s="659"/>
      <c r="M12" s="660"/>
      <c r="N12" s="633"/>
      <c r="O12" s="512"/>
      <c r="P12" s="167"/>
      <c r="Q12" s="659"/>
      <c r="R12" s="660"/>
      <c r="S12" s="633"/>
      <c r="T12" s="512"/>
      <c r="U12" s="167"/>
      <c r="V12" s="659"/>
      <c r="W12" s="660"/>
      <c r="X12" s="633"/>
      <c r="Y12" s="512"/>
      <c r="Z12" s="167"/>
      <c r="AA12" s="659"/>
      <c r="AB12" s="633"/>
      <c r="AC12" s="512"/>
      <c r="AD12" s="513"/>
      <c r="AE12" s="514"/>
    </row>
    <row r="13" spans="1:31" x14ac:dyDescent="0.3">
      <c r="A13" s="552" t="s">
        <v>66</v>
      </c>
      <c r="B13" s="664"/>
      <c r="C13" s="634"/>
      <c r="D13" s="634"/>
      <c r="E13" s="516"/>
      <c r="F13" s="175"/>
      <c r="G13" s="473"/>
      <c r="H13" s="474"/>
      <c r="I13" s="474"/>
      <c r="J13" s="517"/>
      <c r="K13" s="175"/>
      <c r="L13" s="473"/>
      <c r="M13" s="474"/>
      <c r="N13" s="474"/>
      <c r="O13" s="517"/>
      <c r="P13" s="175"/>
      <c r="Q13" s="473"/>
      <c r="R13" s="474"/>
      <c r="S13" s="474"/>
      <c r="T13" s="517"/>
      <c r="U13" s="175"/>
      <c r="V13" s="473"/>
      <c r="W13" s="474"/>
      <c r="X13" s="474"/>
      <c r="Y13" s="517"/>
      <c r="Z13" s="175"/>
      <c r="AA13" s="473"/>
      <c r="AB13" s="474"/>
      <c r="AC13" s="517"/>
      <c r="AD13" s="175"/>
      <c r="AE13" s="849"/>
    </row>
    <row r="14" spans="1:31" x14ac:dyDescent="0.3">
      <c r="A14" s="181" t="s">
        <v>132</v>
      </c>
      <c r="B14" s="1142">
        <v>0</v>
      </c>
      <c r="C14" s="1260">
        <v>0</v>
      </c>
      <c r="D14" s="451">
        <f>C14-B14</f>
        <v>0</v>
      </c>
      <c r="E14" s="220" t="str">
        <f t="shared" ref="E14:E25" si="0">IF(ISERROR(D14/B14),"-",D14/B14)</f>
        <v>-</v>
      </c>
      <c r="F14" s="184"/>
      <c r="G14" s="450"/>
      <c r="H14" s="451"/>
      <c r="I14" s="451">
        <f>H14-G14</f>
        <v>0</v>
      </c>
      <c r="J14" s="220" t="str">
        <f t="shared" ref="J14:J25" si="1">IF(ISERROR(I14/G14),"-",I14/G14)</f>
        <v>-</v>
      </c>
      <c r="K14" s="184"/>
      <c r="L14" s="450">
        <v>0</v>
      </c>
      <c r="M14" s="682">
        <v>0</v>
      </c>
      <c r="N14" s="451">
        <f>M14-L14</f>
        <v>0</v>
      </c>
      <c r="O14" s="220" t="str">
        <f t="shared" ref="O14:O25" si="2">IF(ISERROR(N14/L14),"-",N14/L14)</f>
        <v>-</v>
      </c>
      <c r="P14" s="184"/>
      <c r="Q14" s="450">
        <v>0</v>
      </c>
      <c r="R14" s="451">
        <v>0</v>
      </c>
      <c r="S14" s="451">
        <f>R14-Q14</f>
        <v>0</v>
      </c>
      <c r="T14" s="220" t="str">
        <f t="shared" ref="T14:T29" si="3">IF(ISERROR(S14/Q14),"-",S14/Q14)</f>
        <v>-</v>
      </c>
      <c r="U14" s="184"/>
      <c r="V14" s="450">
        <f>B14+G14+L14+Q14</f>
        <v>0</v>
      </c>
      <c r="W14" s="451">
        <f>C14+H14+M14+R14</f>
        <v>0</v>
      </c>
      <c r="X14" s="451">
        <f>W14-V14</f>
        <v>0</v>
      </c>
      <c r="Y14" s="220" t="str">
        <f t="shared" ref="Y14:Y25" si="4">IF(ISERROR(X14/V14),"-",X14/V14)</f>
        <v>-</v>
      </c>
      <c r="Z14" s="184"/>
      <c r="AA14" s="453">
        <v>0</v>
      </c>
      <c r="AB14" s="642">
        <f>AA14-W14</f>
        <v>0</v>
      </c>
      <c r="AC14" s="220" t="str">
        <f t="shared" ref="AC14:AC25" si="5">IF(ISERROR(AB14/AA14),"-",AB14/AA14)</f>
        <v>-</v>
      </c>
      <c r="AD14" s="184"/>
      <c r="AE14" s="850"/>
    </row>
    <row r="15" spans="1:31" ht="20.25" customHeight="1" x14ac:dyDescent="0.3">
      <c r="A15" s="190" t="s">
        <v>111</v>
      </c>
      <c r="B15" s="1142">
        <v>1613323.23</v>
      </c>
      <c r="C15" s="1260">
        <v>1746067.540634</v>
      </c>
      <c r="D15" s="451">
        <f>C15-B15</f>
        <v>132744.31063399999</v>
      </c>
      <c r="E15" s="1376">
        <f t="shared" si="0"/>
        <v>8.2280046655002909E-2</v>
      </c>
      <c r="F15" s="184"/>
      <c r="G15" s="453">
        <v>47333.825599999996</v>
      </c>
      <c r="H15" s="642">
        <v>82656.262842000026</v>
      </c>
      <c r="I15" s="451">
        <f>H15-G15</f>
        <v>35322.437242000029</v>
      </c>
      <c r="J15" s="221">
        <f t="shared" si="1"/>
        <v>0.74624091322126374</v>
      </c>
      <c r="K15" s="184"/>
      <c r="L15" s="1142">
        <v>24674.987800000003</v>
      </c>
      <c r="M15" s="1260">
        <v>81664.827799999999</v>
      </c>
      <c r="N15" s="451">
        <f t="shared" ref="N15:N24" si="6">M15-L15</f>
        <v>56989.84</v>
      </c>
      <c r="O15" s="222">
        <f t="shared" si="2"/>
        <v>2.3096197842902275</v>
      </c>
      <c r="P15" s="184"/>
      <c r="Q15" s="453">
        <v>21505.599999999999</v>
      </c>
      <c r="R15" s="452">
        <v>30019.908977999989</v>
      </c>
      <c r="S15" s="451">
        <f t="shared" ref="S15:S24" si="7">R15-Q15</f>
        <v>8514.30897799999</v>
      </c>
      <c r="T15" s="294">
        <f t="shared" si="3"/>
        <v>0.39591124999999955</v>
      </c>
      <c r="U15" s="184"/>
      <c r="V15" s="450">
        <f t="shared" ref="V15:V24" si="8">B15+G15+L15+Q15</f>
        <v>1706837.6434000002</v>
      </c>
      <c r="W15" s="451">
        <f t="shared" ref="W15:W24" si="9">C15+H15+M15+R15</f>
        <v>1940408.5402540001</v>
      </c>
      <c r="X15" s="451">
        <f>W15-V15</f>
        <v>233570.89685399993</v>
      </c>
      <c r="Y15" s="294">
        <f t="shared" si="4"/>
        <v>0.13684423808976318</v>
      </c>
      <c r="Z15" s="184"/>
      <c r="AA15" s="453">
        <v>1706837.6434000002</v>
      </c>
      <c r="AB15" s="642">
        <f>AA15-W15</f>
        <v>-233570.89685399993</v>
      </c>
      <c r="AC15" s="220">
        <f t="shared" si="5"/>
        <v>-0.13684423808976318</v>
      </c>
      <c r="AD15" s="184"/>
      <c r="AE15" s="1121" t="s">
        <v>198</v>
      </c>
    </row>
    <row r="16" spans="1:31" x14ac:dyDescent="0.3">
      <c r="A16" s="190" t="s">
        <v>69</v>
      </c>
      <c r="B16" s="1142">
        <v>0</v>
      </c>
      <c r="C16" s="1260">
        <v>0</v>
      </c>
      <c r="D16" s="451">
        <f t="shared" ref="D16:D22" si="10">C16-B16</f>
        <v>0</v>
      </c>
      <c r="E16" s="220" t="str">
        <f t="shared" si="0"/>
        <v>-</v>
      </c>
      <c r="F16" s="191"/>
      <c r="G16" s="450">
        <v>5953.2877200000003</v>
      </c>
      <c r="H16" s="451">
        <v>6019.6593780000003</v>
      </c>
      <c r="I16" s="451">
        <f t="shared" ref="I16:I24" si="11">H16-G16</f>
        <v>66.371658000000025</v>
      </c>
      <c r="J16" s="221">
        <f t="shared" si="1"/>
        <v>1.1148740178813333E-2</v>
      </c>
      <c r="K16" s="191"/>
      <c r="L16" s="1142">
        <v>0</v>
      </c>
      <c r="M16" s="1260">
        <v>0</v>
      </c>
      <c r="N16" s="451">
        <f t="shared" si="6"/>
        <v>0</v>
      </c>
      <c r="O16" s="220" t="str">
        <f t="shared" si="2"/>
        <v>-</v>
      </c>
      <c r="P16" s="191"/>
      <c r="Q16" s="453">
        <v>5960.7071520000009</v>
      </c>
      <c r="R16" s="452">
        <v>5960.6802699999998</v>
      </c>
      <c r="S16" s="451">
        <f t="shared" si="7"/>
        <v>-2.6882000001023698E-2</v>
      </c>
      <c r="T16" s="220">
        <f t="shared" si="3"/>
        <v>-4.5098675904592894E-6</v>
      </c>
      <c r="U16" s="191"/>
      <c r="V16" s="450">
        <f t="shared" si="8"/>
        <v>11913.994872000001</v>
      </c>
      <c r="W16" s="451">
        <f t="shared" si="9"/>
        <v>11980.339648000001</v>
      </c>
      <c r="X16" s="451">
        <f t="shared" ref="X16:X24" si="12">W16-V16</f>
        <v>66.344775999999911</v>
      </c>
      <c r="Y16" s="220">
        <f t="shared" si="4"/>
        <v>5.5686423162663841E-3</v>
      </c>
      <c r="Z16" s="191"/>
      <c r="AA16" s="453">
        <v>11913.994872000001</v>
      </c>
      <c r="AB16" s="642">
        <f t="shared" ref="AB16:AB24" si="13">AA16-W16</f>
        <v>-66.344775999999911</v>
      </c>
      <c r="AC16" s="220">
        <f t="shared" si="5"/>
        <v>-5.5686423162663841E-3</v>
      </c>
      <c r="AD16" s="191"/>
      <c r="AE16" s="851"/>
    </row>
    <row r="17" spans="1:31" x14ac:dyDescent="0.3">
      <c r="A17" s="190" t="s">
        <v>68</v>
      </c>
      <c r="B17" s="1142">
        <v>0</v>
      </c>
      <c r="C17" s="1260">
        <v>0</v>
      </c>
      <c r="D17" s="451">
        <f t="shared" si="10"/>
        <v>0</v>
      </c>
      <c r="E17" s="220" t="str">
        <f t="shared" si="0"/>
        <v>-</v>
      </c>
      <c r="F17" s="184"/>
      <c r="G17" s="1142">
        <v>0</v>
      </c>
      <c r="H17" s="1166">
        <v>0</v>
      </c>
      <c r="I17" s="1260">
        <f t="shared" si="11"/>
        <v>0</v>
      </c>
      <c r="J17" s="220" t="str">
        <f t="shared" si="1"/>
        <v>-</v>
      </c>
      <c r="K17" s="184"/>
      <c r="L17" s="1142">
        <v>0</v>
      </c>
      <c r="M17" s="1260">
        <v>0</v>
      </c>
      <c r="N17" s="451">
        <f t="shared" si="6"/>
        <v>0</v>
      </c>
      <c r="O17" s="220" t="str">
        <f t="shared" si="2"/>
        <v>-</v>
      </c>
      <c r="P17" s="184"/>
      <c r="Q17" s="450">
        <v>0</v>
      </c>
      <c r="R17" s="451">
        <v>0</v>
      </c>
      <c r="S17" s="451">
        <f t="shared" si="7"/>
        <v>0</v>
      </c>
      <c r="T17" s="220" t="str">
        <f t="shared" si="3"/>
        <v>-</v>
      </c>
      <c r="U17" s="184"/>
      <c r="V17" s="450">
        <f t="shared" si="8"/>
        <v>0</v>
      </c>
      <c r="W17" s="451">
        <f t="shared" si="9"/>
        <v>0</v>
      </c>
      <c r="X17" s="451">
        <f t="shared" si="12"/>
        <v>0</v>
      </c>
      <c r="Y17" s="220" t="str">
        <f t="shared" si="4"/>
        <v>-</v>
      </c>
      <c r="Z17" s="184"/>
      <c r="AA17" s="453">
        <v>0</v>
      </c>
      <c r="AB17" s="642">
        <f t="shared" si="13"/>
        <v>0</v>
      </c>
      <c r="AC17" s="220" t="str">
        <f t="shared" si="5"/>
        <v>-</v>
      </c>
      <c r="AD17" s="184"/>
      <c r="AE17" s="850"/>
    </row>
    <row r="18" spans="1:31" x14ac:dyDescent="0.3">
      <c r="A18" s="190" t="s">
        <v>71</v>
      </c>
      <c r="B18" s="1142">
        <v>0</v>
      </c>
      <c r="C18" s="1260">
        <v>0</v>
      </c>
      <c r="D18" s="451">
        <f t="shared" si="10"/>
        <v>0</v>
      </c>
      <c r="E18" s="294" t="str">
        <f t="shared" si="0"/>
        <v>-</v>
      </c>
      <c r="F18" s="184"/>
      <c r="G18" s="1142">
        <v>0</v>
      </c>
      <c r="H18" s="1166">
        <v>0</v>
      </c>
      <c r="I18" s="1260">
        <v>0</v>
      </c>
      <c r="J18" s="294" t="str">
        <f t="shared" si="1"/>
        <v>-</v>
      </c>
      <c r="K18" s="184"/>
      <c r="L18" s="1142">
        <v>0</v>
      </c>
      <c r="M18" s="1260">
        <v>0</v>
      </c>
      <c r="N18" s="451">
        <f t="shared" si="6"/>
        <v>0</v>
      </c>
      <c r="O18" s="294" t="str">
        <f t="shared" si="2"/>
        <v>-</v>
      </c>
      <c r="P18" s="184"/>
      <c r="Q18" s="450">
        <v>0</v>
      </c>
      <c r="R18" s="450">
        <v>0</v>
      </c>
      <c r="S18" s="451">
        <f t="shared" si="7"/>
        <v>0</v>
      </c>
      <c r="T18" s="294" t="str">
        <f t="shared" si="3"/>
        <v>-</v>
      </c>
      <c r="U18" s="184"/>
      <c r="V18" s="450">
        <f>B18+G18+L18+Q18</f>
        <v>0</v>
      </c>
      <c r="W18" s="451">
        <f>C18+H18+M18+R18</f>
        <v>0</v>
      </c>
      <c r="X18" s="451">
        <f t="shared" si="12"/>
        <v>0</v>
      </c>
      <c r="Y18" s="294" t="str">
        <f t="shared" si="4"/>
        <v>-</v>
      </c>
      <c r="Z18" s="184"/>
      <c r="AA18" s="453">
        <v>0</v>
      </c>
      <c r="AB18" s="451">
        <f t="shared" si="13"/>
        <v>0</v>
      </c>
      <c r="AC18" s="294" t="str">
        <f t="shared" si="5"/>
        <v>-</v>
      </c>
      <c r="AD18" s="184"/>
      <c r="AE18" s="850"/>
    </row>
    <row r="19" spans="1:31" x14ac:dyDescent="0.3">
      <c r="A19" s="190" t="s">
        <v>197</v>
      </c>
      <c r="B19" s="1142">
        <v>0</v>
      </c>
      <c r="C19" s="1260">
        <v>0</v>
      </c>
      <c r="D19" s="451">
        <f>C19-B19</f>
        <v>0</v>
      </c>
      <c r="E19" s="294"/>
      <c r="F19" s="184"/>
      <c r="G19" s="1142">
        <v>0</v>
      </c>
      <c r="H19" s="1166">
        <v>0</v>
      </c>
      <c r="I19" s="1260">
        <v>0</v>
      </c>
      <c r="J19" s="294" t="str">
        <f t="shared" si="1"/>
        <v>-</v>
      </c>
      <c r="K19" s="184"/>
      <c r="L19" s="1142">
        <v>0</v>
      </c>
      <c r="M19" s="1260">
        <v>0</v>
      </c>
      <c r="N19" s="451">
        <f t="shared" si="6"/>
        <v>0</v>
      </c>
      <c r="O19" s="294" t="str">
        <f t="shared" si="2"/>
        <v>-</v>
      </c>
      <c r="P19" s="184"/>
      <c r="Q19" s="450">
        <v>0</v>
      </c>
      <c r="R19" s="450">
        <v>0</v>
      </c>
      <c r="S19" s="451">
        <f t="shared" si="7"/>
        <v>0</v>
      </c>
      <c r="T19" s="294"/>
      <c r="U19" s="184"/>
      <c r="V19" s="450">
        <f t="shared" si="8"/>
        <v>0</v>
      </c>
      <c r="W19" s="451">
        <f t="shared" si="9"/>
        <v>0</v>
      </c>
      <c r="X19" s="451">
        <f t="shared" si="12"/>
        <v>0</v>
      </c>
      <c r="Y19" s="294"/>
      <c r="Z19" s="184"/>
      <c r="AA19" s="453">
        <v>0</v>
      </c>
      <c r="AB19" s="451">
        <f t="shared" si="13"/>
        <v>0</v>
      </c>
      <c r="AC19" s="294"/>
      <c r="AD19" s="184"/>
      <c r="AE19" s="850"/>
    </row>
    <row r="20" spans="1:31" x14ac:dyDescent="0.3">
      <c r="A20" s="194" t="s">
        <v>67</v>
      </c>
      <c r="B20" s="1142">
        <v>0</v>
      </c>
      <c r="C20" s="1260">
        <v>0</v>
      </c>
      <c r="D20" s="451">
        <f t="shared" si="10"/>
        <v>0</v>
      </c>
      <c r="E20" s="294" t="str">
        <f t="shared" si="0"/>
        <v>-</v>
      </c>
      <c r="F20" s="184"/>
      <c r="G20" s="1142">
        <v>0</v>
      </c>
      <c r="H20" s="1166">
        <v>0</v>
      </c>
      <c r="I20" s="1260">
        <v>0</v>
      </c>
      <c r="J20" s="294" t="str">
        <f t="shared" si="1"/>
        <v>-</v>
      </c>
      <c r="K20" s="184"/>
      <c r="L20" s="1142">
        <v>0</v>
      </c>
      <c r="M20" s="1260">
        <v>0</v>
      </c>
      <c r="N20" s="451">
        <f t="shared" si="6"/>
        <v>0</v>
      </c>
      <c r="O20" s="294" t="str">
        <f t="shared" si="2"/>
        <v>-</v>
      </c>
      <c r="P20" s="184"/>
      <c r="Q20" s="450">
        <v>0</v>
      </c>
      <c r="R20" s="451">
        <v>0</v>
      </c>
      <c r="S20" s="451">
        <f t="shared" si="7"/>
        <v>0</v>
      </c>
      <c r="T20" s="294" t="str">
        <f t="shared" si="3"/>
        <v>-</v>
      </c>
      <c r="U20" s="184"/>
      <c r="V20" s="450">
        <f t="shared" si="8"/>
        <v>0</v>
      </c>
      <c r="W20" s="451">
        <f t="shared" si="9"/>
        <v>0</v>
      </c>
      <c r="X20" s="451">
        <f t="shared" si="12"/>
        <v>0</v>
      </c>
      <c r="Y20" s="294" t="str">
        <f t="shared" si="4"/>
        <v>-</v>
      </c>
      <c r="Z20" s="184"/>
      <c r="AA20" s="453">
        <v>0</v>
      </c>
      <c r="AB20" s="451">
        <f t="shared" si="13"/>
        <v>0</v>
      </c>
      <c r="AC20" s="294" t="str">
        <f t="shared" si="5"/>
        <v>-</v>
      </c>
      <c r="AD20" s="184"/>
      <c r="AE20" s="850"/>
    </row>
    <row r="21" spans="1:31" x14ac:dyDescent="0.3">
      <c r="A21" s="181" t="s">
        <v>112</v>
      </c>
      <c r="B21" s="1142">
        <v>0</v>
      </c>
      <c r="C21" s="1260">
        <v>0</v>
      </c>
      <c r="D21" s="451">
        <f t="shared" si="10"/>
        <v>0</v>
      </c>
      <c r="E21" s="294" t="str">
        <f t="shared" si="0"/>
        <v>-</v>
      </c>
      <c r="F21" s="184"/>
      <c r="G21" s="1142">
        <v>0</v>
      </c>
      <c r="H21" s="1166">
        <v>0</v>
      </c>
      <c r="I21" s="1260">
        <v>0</v>
      </c>
      <c r="J21" s="294" t="str">
        <f t="shared" si="1"/>
        <v>-</v>
      </c>
      <c r="K21" s="184"/>
      <c r="L21" s="1142">
        <v>0</v>
      </c>
      <c r="M21" s="1260">
        <v>0</v>
      </c>
      <c r="N21" s="451">
        <f t="shared" si="6"/>
        <v>0</v>
      </c>
      <c r="O21" s="294" t="str">
        <f t="shared" si="2"/>
        <v>-</v>
      </c>
      <c r="P21" s="184"/>
      <c r="Q21" s="450">
        <v>0</v>
      </c>
      <c r="R21" s="451">
        <v>0</v>
      </c>
      <c r="S21" s="451">
        <f t="shared" si="7"/>
        <v>0</v>
      </c>
      <c r="T21" s="294" t="str">
        <f t="shared" si="3"/>
        <v>-</v>
      </c>
      <c r="U21" s="184"/>
      <c r="V21" s="450">
        <f t="shared" si="8"/>
        <v>0</v>
      </c>
      <c r="W21" s="451">
        <f t="shared" si="9"/>
        <v>0</v>
      </c>
      <c r="X21" s="451">
        <f t="shared" si="12"/>
        <v>0</v>
      </c>
      <c r="Y21" s="294" t="str">
        <f t="shared" si="4"/>
        <v>-</v>
      </c>
      <c r="Z21" s="184"/>
      <c r="AA21" s="453">
        <v>0</v>
      </c>
      <c r="AB21" s="451">
        <f t="shared" si="13"/>
        <v>0</v>
      </c>
      <c r="AC21" s="294" t="str">
        <f t="shared" si="5"/>
        <v>-</v>
      </c>
      <c r="AD21" s="184"/>
      <c r="AE21" s="850"/>
    </row>
    <row r="22" spans="1:31" x14ac:dyDescent="0.3">
      <c r="A22" s="190" t="s">
        <v>70</v>
      </c>
      <c r="B22" s="1142">
        <v>0</v>
      </c>
      <c r="C22" s="1260">
        <v>0</v>
      </c>
      <c r="D22" s="451">
        <f t="shared" si="10"/>
        <v>0</v>
      </c>
      <c r="E22" s="294" t="str">
        <f t="shared" si="0"/>
        <v>-</v>
      </c>
      <c r="F22" s="184"/>
      <c r="G22" s="1142">
        <v>0</v>
      </c>
      <c r="H22" s="1166">
        <v>0</v>
      </c>
      <c r="I22" s="1260">
        <v>0</v>
      </c>
      <c r="J22" s="294" t="str">
        <f t="shared" si="1"/>
        <v>-</v>
      </c>
      <c r="K22" s="184"/>
      <c r="L22" s="450">
        <v>0</v>
      </c>
      <c r="M22" s="684">
        <v>0</v>
      </c>
      <c r="N22" s="451">
        <f t="shared" si="6"/>
        <v>0</v>
      </c>
      <c r="O22" s="294" t="str">
        <f t="shared" si="2"/>
        <v>-</v>
      </c>
      <c r="P22" s="184"/>
      <c r="Q22" s="450">
        <v>0</v>
      </c>
      <c r="R22" s="451">
        <v>0</v>
      </c>
      <c r="S22" s="451">
        <f t="shared" si="7"/>
        <v>0</v>
      </c>
      <c r="T22" s="294" t="str">
        <f t="shared" si="3"/>
        <v>-</v>
      </c>
      <c r="U22" s="184"/>
      <c r="V22" s="450">
        <f t="shared" si="8"/>
        <v>0</v>
      </c>
      <c r="W22" s="451">
        <f t="shared" si="9"/>
        <v>0</v>
      </c>
      <c r="X22" s="451">
        <f t="shared" si="12"/>
        <v>0</v>
      </c>
      <c r="Y22" s="294" t="str">
        <f t="shared" si="4"/>
        <v>-</v>
      </c>
      <c r="Z22" s="184"/>
      <c r="AA22" s="453">
        <v>0</v>
      </c>
      <c r="AB22" s="451">
        <f t="shared" si="13"/>
        <v>0</v>
      </c>
      <c r="AC22" s="294" t="str">
        <f t="shared" si="5"/>
        <v>-</v>
      </c>
      <c r="AD22" s="184"/>
      <c r="AE22" s="850"/>
    </row>
    <row r="23" spans="1:31" x14ac:dyDescent="0.3">
      <c r="A23" s="190" t="s">
        <v>72</v>
      </c>
      <c r="B23" s="1142">
        <v>0</v>
      </c>
      <c r="C23" s="1260">
        <v>0</v>
      </c>
      <c r="D23" s="451">
        <f t="shared" ref="D23:D24" si="14">C23-B23</f>
        <v>0</v>
      </c>
      <c r="E23" s="220" t="str">
        <f t="shared" si="0"/>
        <v>-</v>
      </c>
      <c r="F23" s="184"/>
      <c r="G23" s="1142">
        <v>0</v>
      </c>
      <c r="H23" s="1166">
        <v>0</v>
      </c>
      <c r="I23" s="1260">
        <f t="shared" si="11"/>
        <v>0</v>
      </c>
      <c r="J23" s="220" t="str">
        <f t="shared" si="1"/>
        <v>-</v>
      </c>
      <c r="K23" s="184"/>
      <c r="L23" s="450">
        <v>0</v>
      </c>
      <c r="M23" s="684">
        <v>0</v>
      </c>
      <c r="N23" s="451">
        <f t="shared" si="6"/>
        <v>0</v>
      </c>
      <c r="O23" s="220" t="str">
        <f t="shared" si="2"/>
        <v>-</v>
      </c>
      <c r="P23" s="184"/>
      <c r="Q23" s="450">
        <v>0</v>
      </c>
      <c r="R23" s="451">
        <v>0</v>
      </c>
      <c r="S23" s="451">
        <f t="shared" si="7"/>
        <v>0</v>
      </c>
      <c r="T23" s="220" t="str">
        <f t="shared" si="3"/>
        <v>-</v>
      </c>
      <c r="U23" s="184"/>
      <c r="V23" s="450">
        <f t="shared" si="8"/>
        <v>0</v>
      </c>
      <c r="W23" s="451">
        <f t="shared" si="9"/>
        <v>0</v>
      </c>
      <c r="X23" s="451">
        <f t="shared" si="12"/>
        <v>0</v>
      </c>
      <c r="Y23" s="220" t="str">
        <f t="shared" si="4"/>
        <v>-</v>
      </c>
      <c r="Z23" s="184"/>
      <c r="AA23" s="453">
        <v>0</v>
      </c>
      <c r="AB23" s="451">
        <f t="shared" si="13"/>
        <v>0</v>
      </c>
      <c r="AC23" s="220" t="str">
        <f t="shared" si="5"/>
        <v>-</v>
      </c>
      <c r="AD23" s="184"/>
      <c r="AE23" s="851"/>
    </row>
    <row r="24" spans="1:31" x14ac:dyDescent="0.3">
      <c r="A24" s="190" t="s">
        <v>131</v>
      </c>
      <c r="B24" s="1142">
        <v>0</v>
      </c>
      <c r="C24" s="1267">
        <v>0</v>
      </c>
      <c r="D24" s="451">
        <f t="shared" si="14"/>
        <v>0</v>
      </c>
      <c r="E24" s="294" t="str">
        <f t="shared" si="0"/>
        <v>-</v>
      </c>
      <c r="F24" s="184"/>
      <c r="G24" s="450">
        <v>0</v>
      </c>
      <c r="H24" s="451">
        <v>0</v>
      </c>
      <c r="I24" s="451">
        <f t="shared" si="11"/>
        <v>0</v>
      </c>
      <c r="J24" s="294" t="str">
        <f t="shared" si="1"/>
        <v>-</v>
      </c>
      <c r="K24" s="184"/>
      <c r="L24" s="450">
        <v>0</v>
      </c>
      <c r="M24" s="684">
        <v>0</v>
      </c>
      <c r="N24" s="451">
        <f t="shared" si="6"/>
        <v>0</v>
      </c>
      <c r="O24" s="294" t="str">
        <f t="shared" si="2"/>
        <v>-</v>
      </c>
      <c r="P24" s="184"/>
      <c r="Q24" s="450">
        <v>0</v>
      </c>
      <c r="R24" s="451">
        <v>0</v>
      </c>
      <c r="S24" s="451">
        <f t="shared" si="7"/>
        <v>0</v>
      </c>
      <c r="T24" s="294" t="str">
        <f t="shared" si="3"/>
        <v>-</v>
      </c>
      <c r="U24" s="184"/>
      <c r="V24" s="450">
        <f t="shared" si="8"/>
        <v>0</v>
      </c>
      <c r="W24" s="451">
        <f t="shared" si="9"/>
        <v>0</v>
      </c>
      <c r="X24" s="451">
        <f t="shared" si="12"/>
        <v>0</v>
      </c>
      <c r="Y24" s="294" t="str">
        <f t="shared" si="4"/>
        <v>-</v>
      </c>
      <c r="Z24" s="184"/>
      <c r="AA24" s="453">
        <v>0</v>
      </c>
      <c r="AB24" s="451">
        <f t="shared" si="13"/>
        <v>0</v>
      </c>
      <c r="AC24" s="294" t="str">
        <f t="shared" si="5"/>
        <v>-</v>
      </c>
      <c r="AD24" s="184"/>
      <c r="AE24" s="850"/>
    </row>
    <row r="25" spans="1:31" x14ac:dyDescent="0.3">
      <c r="A25" s="199" t="s">
        <v>73</v>
      </c>
      <c r="B25" s="469">
        <f>SUM(B14:B24)</f>
        <v>1613323.23</v>
      </c>
      <c r="C25" s="470">
        <f>SUM(C14:C24)</f>
        <v>1746067.540634</v>
      </c>
      <c r="D25" s="470">
        <f>SUM(D14:D24)</f>
        <v>132744.31063399999</v>
      </c>
      <c r="E25" s="237">
        <f t="shared" si="0"/>
        <v>8.2280046655002909E-2</v>
      </c>
      <c r="F25" s="203"/>
      <c r="G25" s="469">
        <f>SUM(G14:G24)</f>
        <v>53287.113319999997</v>
      </c>
      <c r="H25" s="470">
        <f>SUM(H14:H24)</f>
        <v>88675.922220000022</v>
      </c>
      <c r="I25" s="470">
        <f>SUM(I14:I24)</f>
        <v>35388.808900000033</v>
      </c>
      <c r="J25" s="237">
        <f t="shared" si="1"/>
        <v>0.66411570631501482</v>
      </c>
      <c r="K25" s="203"/>
      <c r="L25" s="469">
        <f>SUM(L14:L24)</f>
        <v>24674.987800000003</v>
      </c>
      <c r="M25" s="685">
        <f>SUM(M14:M24)</f>
        <v>81664.827799999999</v>
      </c>
      <c r="N25" s="686">
        <f>SUM(N14:N24)</f>
        <v>56989.84</v>
      </c>
      <c r="O25" s="237">
        <f t="shared" si="2"/>
        <v>2.3096197842902275</v>
      </c>
      <c r="P25" s="203"/>
      <c r="Q25" s="469">
        <f>SUM(Q14:Q24)</f>
        <v>27466.307152000001</v>
      </c>
      <c r="R25" s="685">
        <f>SUM(R14:R24)</f>
        <v>35980.589247999989</v>
      </c>
      <c r="S25" s="685">
        <f>SUM(S14:S24)</f>
        <v>8514.2820959999881</v>
      </c>
      <c r="T25" s="527">
        <f t="shared" si="3"/>
        <v>0.30999005613974601</v>
      </c>
      <c r="U25" s="203"/>
      <c r="V25" s="469">
        <f>SUM(V14:V24)</f>
        <v>1718751.6382720002</v>
      </c>
      <c r="W25" s="470">
        <f>SUM(W14:W24)</f>
        <v>1952388.8799020001</v>
      </c>
      <c r="X25" s="470">
        <f>SUM(X14:X24)</f>
        <v>233637.24162999995</v>
      </c>
      <c r="Y25" s="527">
        <f t="shared" si="4"/>
        <v>0.13593426556084295</v>
      </c>
      <c r="Z25" s="203"/>
      <c r="AA25" s="471">
        <f>SUM(AA14:AA24)</f>
        <v>1718751.6382720002</v>
      </c>
      <c r="AB25" s="472">
        <f>SUM(AB14:AB24)</f>
        <v>-233637.24162999995</v>
      </c>
      <c r="AC25" s="562">
        <f t="shared" si="5"/>
        <v>-0.13593426556084295</v>
      </c>
      <c r="AD25" s="203"/>
      <c r="AE25" s="852"/>
    </row>
    <row r="26" spans="1:31" x14ac:dyDescent="0.3">
      <c r="A26" s="210"/>
      <c r="B26" s="459"/>
      <c r="C26" s="460"/>
      <c r="D26" s="460"/>
      <c r="E26" s="532"/>
      <c r="F26" s="184"/>
      <c r="G26" s="461"/>
      <c r="H26" s="462"/>
      <c r="I26" s="462"/>
      <c r="J26" s="216"/>
      <c r="K26" s="184"/>
      <c r="L26" s="461"/>
      <c r="M26" s="687"/>
      <c r="N26" s="688"/>
      <c r="O26" s="532"/>
      <c r="P26" s="184"/>
      <c r="Q26" s="461"/>
      <c r="R26" s="462"/>
      <c r="S26" s="462"/>
      <c r="T26" s="533" t="str">
        <f t="shared" si="3"/>
        <v>-</v>
      </c>
      <c r="U26" s="184"/>
      <c r="V26" s="459"/>
      <c r="W26" s="460"/>
      <c r="X26" s="460"/>
      <c r="Y26" s="532"/>
      <c r="Z26" s="184"/>
      <c r="AA26" s="459"/>
      <c r="AB26" s="460"/>
      <c r="AC26" s="563"/>
      <c r="AD26" s="184"/>
      <c r="AE26" s="850"/>
    </row>
    <row r="27" spans="1:31" x14ac:dyDescent="0.3">
      <c r="A27" s="172" t="s">
        <v>74</v>
      </c>
      <c r="B27" s="450"/>
      <c r="C27" s="451"/>
      <c r="D27" s="451">
        <f>C27-B27</f>
        <v>0</v>
      </c>
      <c r="E27" s="294" t="str">
        <f>IF(ISERROR(D27/B27),"-",D27/B27)</f>
        <v>-</v>
      </c>
      <c r="F27" s="184"/>
      <c r="G27" s="622">
        <v>0</v>
      </c>
      <c r="H27" s="677">
        <v>0</v>
      </c>
      <c r="I27" s="677">
        <f>H27-G27</f>
        <v>0</v>
      </c>
      <c r="J27" s="295" t="str">
        <f>IF(ISERROR(I27/G27),"-",I27/G27)</f>
        <v>-</v>
      </c>
      <c r="K27" s="184"/>
      <c r="L27" s="622">
        <v>0</v>
      </c>
      <c r="M27" s="689">
        <v>0</v>
      </c>
      <c r="N27" s="690">
        <f>L27-M27</f>
        <v>0</v>
      </c>
      <c r="O27" s="294" t="str">
        <f>IF(ISERROR(N27/L27),"-",N27/L27)</f>
        <v>-</v>
      </c>
      <c r="P27" s="184"/>
      <c r="Q27" s="463"/>
      <c r="R27" s="464"/>
      <c r="S27" s="464">
        <f>Q27-R27</f>
        <v>0</v>
      </c>
      <c r="T27" s="295" t="str">
        <f t="shared" si="3"/>
        <v>-</v>
      </c>
      <c r="U27" s="184"/>
      <c r="V27" s="450">
        <f>B27+G27+L27+Q27</f>
        <v>0</v>
      </c>
      <c r="W27" s="451">
        <f>C27+H27+M27+R27</f>
        <v>0</v>
      </c>
      <c r="X27" s="451"/>
      <c r="Y27" s="535"/>
      <c r="Z27" s="184"/>
      <c r="AA27" s="450"/>
      <c r="AB27" s="451"/>
      <c r="AC27" s="564"/>
      <c r="AD27" s="184"/>
      <c r="AE27" s="850"/>
    </row>
    <row r="28" spans="1:31" x14ac:dyDescent="0.3">
      <c r="A28" s="226"/>
      <c r="B28" s="465"/>
      <c r="C28" s="466"/>
      <c r="D28" s="466"/>
      <c r="E28" s="537"/>
      <c r="F28" s="175"/>
      <c r="G28" s="467"/>
      <c r="H28" s="468"/>
      <c r="I28" s="468"/>
      <c r="J28" s="232"/>
      <c r="K28" s="175"/>
      <c r="L28" s="467"/>
      <c r="M28" s="691"/>
      <c r="N28" s="692"/>
      <c r="O28" s="537"/>
      <c r="P28" s="175"/>
      <c r="Q28" s="467"/>
      <c r="R28" s="468"/>
      <c r="S28" s="468"/>
      <c r="T28" s="538" t="str">
        <f t="shared" si="3"/>
        <v>-</v>
      </c>
      <c r="U28" s="175"/>
      <c r="V28" s="465"/>
      <c r="W28" s="466"/>
      <c r="X28" s="466"/>
      <c r="Y28" s="537"/>
      <c r="Z28" s="175"/>
      <c r="AA28" s="465"/>
      <c r="AB28" s="466"/>
      <c r="AC28" s="565"/>
      <c r="AD28" s="175"/>
      <c r="AE28" s="850"/>
    </row>
    <row r="29" spans="1:31" x14ac:dyDescent="0.3">
      <c r="A29" s="199" t="s">
        <v>75</v>
      </c>
      <c r="B29" s="469">
        <f>B25+B27</f>
        <v>1613323.23</v>
      </c>
      <c r="C29" s="470">
        <f>C25+C27</f>
        <v>1746067.540634</v>
      </c>
      <c r="D29" s="470">
        <f>D25+D27</f>
        <v>132744.31063399999</v>
      </c>
      <c r="E29" s="237">
        <f>IF(ISERROR(D29/B29),"-",D29/B29)</f>
        <v>8.2280046655002909E-2</v>
      </c>
      <c r="F29" s="203"/>
      <c r="G29" s="469">
        <f>G25+G27</f>
        <v>53287.113319999997</v>
      </c>
      <c r="H29" s="470">
        <f>H25+H27</f>
        <v>88675.922220000022</v>
      </c>
      <c r="I29" s="470">
        <f>I25+I27</f>
        <v>35388.808900000033</v>
      </c>
      <c r="J29" s="237">
        <f>IF(ISERROR(I29/G29),"-",I29/G29)</f>
        <v>0.66411570631501482</v>
      </c>
      <c r="K29" s="203"/>
      <c r="L29" s="469">
        <f>L25+L27</f>
        <v>24674.987800000003</v>
      </c>
      <c r="M29" s="685">
        <f>M25+M27</f>
        <v>81664.827799999999</v>
      </c>
      <c r="N29" s="686">
        <f>N25+N27</f>
        <v>56989.84</v>
      </c>
      <c r="O29" s="237">
        <f>IF(ISERROR(N29/L29),"-",N29/L29)</f>
        <v>2.3096197842902275</v>
      </c>
      <c r="P29" s="203"/>
      <c r="Q29" s="469">
        <f>Q25+Q27</f>
        <v>27466.307152000001</v>
      </c>
      <c r="R29" s="685">
        <f>R25+R27</f>
        <v>35980.589247999989</v>
      </c>
      <c r="S29" s="685">
        <f>S25+S27</f>
        <v>8514.2820959999881</v>
      </c>
      <c r="T29" s="237">
        <f t="shared" si="3"/>
        <v>0.30999005613974601</v>
      </c>
      <c r="U29" s="203"/>
      <c r="V29" s="469">
        <f>V25+V27</f>
        <v>1718751.6382720002</v>
      </c>
      <c r="W29" s="470">
        <f>W25+W27</f>
        <v>1952388.8799020001</v>
      </c>
      <c r="X29" s="470">
        <f>X25+X27</f>
        <v>233637.24162999995</v>
      </c>
      <c r="Y29" s="237">
        <f>IF(ISERROR(X29/V29),"-",X29/V29)</f>
        <v>0.13593426556084295</v>
      </c>
      <c r="Z29" s="203"/>
      <c r="AA29" s="471">
        <f>AA25+AA27</f>
        <v>1718751.6382720002</v>
      </c>
      <c r="AB29" s="472">
        <f>AA29-W29</f>
        <v>-233637.24162999983</v>
      </c>
      <c r="AC29" s="562">
        <f>IF(ISERROR(AB29/AA29),"-",AB29/AA29)</f>
        <v>-0.13593426556084287</v>
      </c>
      <c r="AD29" s="203"/>
      <c r="AE29" s="852"/>
    </row>
    <row r="30" spans="1:31" x14ac:dyDescent="0.3">
      <c r="A30" s="242"/>
      <c r="B30" s="473"/>
      <c r="C30" s="474"/>
      <c r="D30" s="474"/>
      <c r="E30" s="517"/>
      <c r="F30" s="175"/>
      <c r="G30" s="475"/>
      <c r="H30" s="476"/>
      <c r="I30" s="476"/>
      <c r="J30" s="540"/>
      <c r="K30" s="175"/>
      <c r="L30" s="475"/>
      <c r="M30" s="693"/>
      <c r="N30" s="694"/>
      <c r="O30" s="517"/>
      <c r="P30" s="175"/>
      <c r="Q30" s="475"/>
      <c r="R30" s="476"/>
      <c r="S30" s="476"/>
      <c r="T30" s="540"/>
      <c r="U30" s="175"/>
      <c r="V30" s="459"/>
      <c r="W30" s="460"/>
      <c r="X30" s="474"/>
      <c r="Y30" s="517"/>
      <c r="Z30" s="175"/>
      <c r="AA30" s="459"/>
      <c r="AB30" s="474"/>
      <c r="AC30" s="517"/>
      <c r="AD30" s="175"/>
      <c r="AE30" s="850"/>
    </row>
    <row r="31" spans="1:31" x14ac:dyDescent="0.3">
      <c r="A31" s="172" t="s">
        <v>76</v>
      </c>
      <c r="B31" s="450"/>
      <c r="C31" s="451"/>
      <c r="D31" s="451"/>
      <c r="E31" s="535"/>
      <c r="F31" s="184"/>
      <c r="G31" s="463"/>
      <c r="H31" s="464"/>
      <c r="I31" s="464"/>
      <c r="J31" s="541"/>
      <c r="K31" s="184"/>
      <c r="L31" s="463"/>
      <c r="M31" s="695"/>
      <c r="N31" s="696"/>
      <c r="O31" s="535"/>
      <c r="P31" s="184"/>
      <c r="Q31" s="463"/>
      <c r="R31" s="464"/>
      <c r="S31" s="464"/>
      <c r="T31" s="541"/>
      <c r="U31" s="184"/>
      <c r="V31" s="450"/>
      <c r="W31" s="451"/>
      <c r="X31" s="451"/>
      <c r="Y31" s="535"/>
      <c r="Z31" s="184"/>
      <c r="AA31" s="450"/>
      <c r="AB31" s="451"/>
      <c r="AC31" s="535"/>
      <c r="AD31" s="184"/>
      <c r="AE31" s="850"/>
    </row>
    <row r="32" spans="1:31" x14ac:dyDescent="0.3">
      <c r="A32" s="172" t="s">
        <v>77</v>
      </c>
      <c r="B32" s="453"/>
      <c r="C32" s="642"/>
      <c r="D32" s="451"/>
      <c r="E32" s="535"/>
      <c r="F32" s="184"/>
      <c r="G32" s="463"/>
      <c r="H32" s="464"/>
      <c r="I32" s="464"/>
      <c r="J32" s="541"/>
      <c r="K32" s="184"/>
      <c r="L32" s="463"/>
      <c r="M32" s="695"/>
      <c r="N32" s="696"/>
      <c r="O32" s="535"/>
      <c r="P32" s="184"/>
      <c r="Q32" s="463"/>
      <c r="R32" s="464"/>
      <c r="S32" s="464"/>
      <c r="T32" s="541"/>
      <c r="U32" s="184"/>
      <c r="V32" s="450"/>
      <c r="W32" s="451"/>
      <c r="X32" s="451"/>
      <c r="Y32" s="535"/>
      <c r="Z32" s="184"/>
      <c r="AA32" s="450"/>
      <c r="AB32" s="451"/>
      <c r="AC32" s="535"/>
      <c r="AD32" s="184"/>
      <c r="AE32" s="850"/>
    </row>
    <row r="33" spans="1:31" x14ac:dyDescent="0.3">
      <c r="A33" s="190" t="s">
        <v>78</v>
      </c>
      <c r="B33" s="453">
        <v>413670.0279300001</v>
      </c>
      <c r="C33" s="453">
        <v>411070.67294000002</v>
      </c>
      <c r="D33" s="451">
        <f t="shared" ref="D33:D40" si="15">C33-B33</f>
        <v>-2599.3549900000799</v>
      </c>
      <c r="E33" s="220">
        <f>IF(ISERROR(D33/B33),"-",D33/B33)</f>
        <v>-6.2836435189835274E-3</v>
      </c>
      <c r="F33" s="191"/>
      <c r="G33" s="463">
        <v>413670.0279300001</v>
      </c>
      <c r="H33" s="464">
        <v>411858.98759000003</v>
      </c>
      <c r="I33" s="451">
        <f t="shared" ref="I33:I40" si="16">H33-G33</f>
        <v>-1811.040340000065</v>
      </c>
      <c r="J33" s="221">
        <f t="shared" ref="J33:J40" si="17">IF(ISERROR(I33/G33),"-",I33/G33)</f>
        <v>-4.3779829760993063E-3</v>
      </c>
      <c r="K33" s="191"/>
      <c r="L33" s="463">
        <v>413670.0279300001</v>
      </c>
      <c r="M33" s="695">
        <v>415026.95064399997</v>
      </c>
      <c r="N33" s="451">
        <f>M33-L33</f>
        <v>1356.9227139998693</v>
      </c>
      <c r="O33" s="220">
        <f t="shared" ref="O33:O41" si="18">IF(ISERROR(N33/L33),"-",N33/L33)</f>
        <v>3.2802055319064191E-3</v>
      </c>
      <c r="P33" s="191"/>
      <c r="Q33" s="463">
        <v>413670.0279300001</v>
      </c>
      <c r="R33" s="695">
        <v>404234.47281199996</v>
      </c>
      <c r="S33" s="451">
        <f t="shared" ref="S33:S40" si="19">R33-Q33</f>
        <v>-9435.5551180001348</v>
      </c>
      <c r="T33" s="221">
        <f t="shared" ref="T33:T41" si="20">IF(ISERROR(S33/Q33),"-",S33/Q33)</f>
        <v>-2.2809375784887148E-2</v>
      </c>
      <c r="U33" s="191"/>
      <c r="V33" s="450">
        <f>B33+G33+L33+Q33</f>
        <v>1654680.1117200004</v>
      </c>
      <c r="W33" s="451">
        <f>C33+H33+M33+R33</f>
        <v>1642191.0839859999</v>
      </c>
      <c r="X33" s="451">
        <f t="shared" ref="X33:X40" si="21">W33-V33</f>
        <v>-12489.027734000469</v>
      </c>
      <c r="Y33" s="220">
        <f t="shared" ref="Y33:Y41" si="22">IF(ISERROR(X33/V33),"-",X33/V33)</f>
        <v>-7.5476991870159259E-3</v>
      </c>
      <c r="Z33" s="191"/>
      <c r="AA33" s="450">
        <v>1654680.1117200004</v>
      </c>
      <c r="AB33" s="451">
        <f t="shared" ref="AB33:AB40" si="23">AA33-W33</f>
        <v>12489.027734000469</v>
      </c>
      <c r="AC33" s="220">
        <f t="shared" ref="AC33:AC41" si="24">IF(ISERROR(AB33/AA33),"-",AB33/AA33)</f>
        <v>7.5476991870159259E-3</v>
      </c>
      <c r="AD33" s="191"/>
      <c r="AE33" s="1404"/>
    </row>
    <row r="34" spans="1:31" x14ac:dyDescent="0.3">
      <c r="A34" s="190" t="s">
        <v>79</v>
      </c>
      <c r="B34" s="453">
        <v>0</v>
      </c>
      <c r="C34" s="453">
        <v>0</v>
      </c>
      <c r="D34" s="451">
        <f t="shared" si="15"/>
        <v>0</v>
      </c>
      <c r="E34" s="220" t="str">
        <f t="shared" ref="E34:E40" si="25">IF(ISERROR(D34/B34),"-",D34/B34)</f>
        <v>-</v>
      </c>
      <c r="F34" s="191"/>
      <c r="G34" s="622">
        <v>0</v>
      </c>
      <c r="H34" s="677">
        <v>0</v>
      </c>
      <c r="I34" s="451">
        <f t="shared" si="16"/>
        <v>0</v>
      </c>
      <c r="J34" s="221" t="str">
        <f t="shared" si="17"/>
        <v>-</v>
      </c>
      <c r="K34" s="191"/>
      <c r="L34" s="622">
        <v>0</v>
      </c>
      <c r="M34" s="689">
        <v>0</v>
      </c>
      <c r="N34" s="451">
        <f t="shared" ref="N34:N40" si="26">M34-L34</f>
        <v>0</v>
      </c>
      <c r="O34" s="220" t="str">
        <f t="shared" si="18"/>
        <v>-</v>
      </c>
      <c r="P34" s="191"/>
      <c r="Q34" s="622">
        <v>0</v>
      </c>
      <c r="R34" s="689">
        <v>0</v>
      </c>
      <c r="S34" s="451">
        <f t="shared" si="19"/>
        <v>0</v>
      </c>
      <c r="T34" s="221" t="str">
        <f t="shared" si="20"/>
        <v>-</v>
      </c>
      <c r="U34" s="191"/>
      <c r="V34" s="450">
        <f t="shared" ref="V34:V40" si="27">B34+G34+L34+Q34</f>
        <v>0</v>
      </c>
      <c r="W34" s="451">
        <f t="shared" ref="W34:W40" si="28">C34+H34+M34+R34</f>
        <v>0</v>
      </c>
      <c r="X34" s="451">
        <f t="shared" si="21"/>
        <v>0</v>
      </c>
      <c r="Y34" s="220" t="str">
        <f t="shared" si="22"/>
        <v>-</v>
      </c>
      <c r="Z34" s="191"/>
      <c r="AA34" s="450">
        <v>0</v>
      </c>
      <c r="AB34" s="676">
        <f t="shared" si="23"/>
        <v>0</v>
      </c>
      <c r="AC34" s="220" t="str">
        <f t="shared" si="24"/>
        <v>-</v>
      </c>
      <c r="AD34" s="191"/>
      <c r="AE34" s="851"/>
    </row>
    <row r="35" spans="1:31" x14ac:dyDescent="0.3">
      <c r="A35" s="190" t="s">
        <v>81</v>
      </c>
      <c r="B35" s="453">
        <v>27680.045934000002</v>
      </c>
      <c r="C35" s="453">
        <v>27680.019052</v>
      </c>
      <c r="D35" s="451">
        <f t="shared" si="15"/>
        <v>-2.6882000001933193E-2</v>
      </c>
      <c r="E35" s="220">
        <f t="shared" si="25"/>
        <v>-9.7116890867993282E-7</v>
      </c>
      <c r="F35" s="191"/>
      <c r="G35" s="463">
        <v>27680.045934000002</v>
      </c>
      <c r="H35" s="464">
        <v>27679.857760000003</v>
      </c>
      <c r="I35" s="451">
        <f t="shared" si="16"/>
        <v>-0.18817399999898043</v>
      </c>
      <c r="J35" s="221">
        <f t="shared" si="17"/>
        <v>-6.7981823602338107E-6</v>
      </c>
      <c r="K35" s="191"/>
      <c r="L35" s="463">
        <v>27680.045934000002</v>
      </c>
      <c r="M35" s="695">
        <v>26810.171296000004</v>
      </c>
      <c r="N35" s="451">
        <f t="shared" si="26"/>
        <v>-869.8746379999975</v>
      </c>
      <c r="O35" s="220">
        <f t="shared" si="18"/>
        <v>-3.1426054713713882E-2</v>
      </c>
      <c r="P35" s="191"/>
      <c r="Q35" s="463">
        <v>27680.045934000002</v>
      </c>
      <c r="R35" s="695">
        <v>27053.130812000003</v>
      </c>
      <c r="S35" s="451">
        <f t="shared" si="19"/>
        <v>-626.91512199999852</v>
      </c>
      <c r="T35" s="221">
        <f t="shared" si="20"/>
        <v>-2.2648630117695905E-2</v>
      </c>
      <c r="U35" s="191"/>
      <c r="V35" s="450">
        <f t="shared" si="27"/>
        <v>110720.18373600001</v>
      </c>
      <c r="W35" s="451">
        <f t="shared" si="28"/>
        <v>109223.17892000001</v>
      </c>
      <c r="X35" s="451">
        <f t="shared" si="21"/>
        <v>-1497.0048160000006</v>
      </c>
      <c r="Y35" s="220">
        <f t="shared" si="22"/>
        <v>-1.3520613545669708E-2</v>
      </c>
      <c r="Z35" s="191"/>
      <c r="AA35" s="450">
        <v>110720.18373600001</v>
      </c>
      <c r="AB35" s="451">
        <f t="shared" si="23"/>
        <v>1497.0048160000006</v>
      </c>
      <c r="AC35" s="220">
        <f t="shared" si="24"/>
        <v>1.3520613545669708E-2</v>
      </c>
      <c r="AD35" s="191"/>
      <c r="AE35" s="1100"/>
    </row>
    <row r="36" spans="1:31" x14ac:dyDescent="0.3">
      <c r="A36" s="190" t="s">
        <v>106</v>
      </c>
      <c r="B36" s="453">
        <v>14171.51835</v>
      </c>
      <c r="C36" s="453">
        <v>13927.295380000001</v>
      </c>
      <c r="D36" s="451">
        <f t="shared" si="15"/>
        <v>-244.2229699999989</v>
      </c>
      <c r="E36" s="220">
        <f t="shared" si="25"/>
        <v>-1.7233366529141099E-2</v>
      </c>
      <c r="F36" s="256"/>
      <c r="G36" s="463">
        <v>14171.51835</v>
      </c>
      <c r="H36" s="464">
        <v>14125.442602000003</v>
      </c>
      <c r="I36" s="451">
        <f t="shared" si="16"/>
        <v>-46.075747999997475</v>
      </c>
      <c r="J36" s="221">
        <f t="shared" si="17"/>
        <v>-3.2512922653765942E-3</v>
      </c>
      <c r="K36" s="256"/>
      <c r="L36" s="463">
        <v>14171.51835</v>
      </c>
      <c r="M36" s="695">
        <v>13613.421147999999</v>
      </c>
      <c r="N36" s="451">
        <f t="shared" si="26"/>
        <v>-558.09720200000083</v>
      </c>
      <c r="O36" s="220">
        <f t="shared" si="18"/>
        <v>-3.9381609522454654E-2</v>
      </c>
      <c r="P36" s="256"/>
      <c r="Q36" s="463">
        <v>14171.51835</v>
      </c>
      <c r="R36" s="695">
        <v>13959.284960000001</v>
      </c>
      <c r="S36" s="451">
        <f t="shared" si="19"/>
        <v>-212.23338999999942</v>
      </c>
      <c r="T36" s="223">
        <f t="shared" si="20"/>
        <v>-1.4976051595769865E-2</v>
      </c>
      <c r="U36" s="256"/>
      <c r="V36" s="450">
        <f t="shared" si="27"/>
        <v>56686.073400000001</v>
      </c>
      <c r="W36" s="451">
        <f t="shared" si="28"/>
        <v>55625.444090000005</v>
      </c>
      <c r="X36" s="451">
        <f t="shared" si="21"/>
        <v>-1060.6293099999966</v>
      </c>
      <c r="Y36" s="220">
        <f t="shared" si="22"/>
        <v>-1.8710579978185551E-2</v>
      </c>
      <c r="Z36" s="256"/>
      <c r="AA36" s="450">
        <v>56686.073400000001</v>
      </c>
      <c r="AB36" s="451">
        <f t="shared" si="23"/>
        <v>1060.6293099999966</v>
      </c>
      <c r="AC36" s="220">
        <f t="shared" si="24"/>
        <v>1.8710579978185551E-2</v>
      </c>
      <c r="AD36" s="256"/>
      <c r="AE36" s="850"/>
    </row>
    <row r="37" spans="1:31" x14ac:dyDescent="0.3">
      <c r="A37" s="190" t="s">
        <v>80</v>
      </c>
      <c r="B37" s="453">
        <v>0</v>
      </c>
      <c r="C37" s="453">
        <v>0</v>
      </c>
      <c r="D37" s="451">
        <f t="shared" si="15"/>
        <v>0</v>
      </c>
      <c r="E37" s="220" t="str">
        <f t="shared" si="25"/>
        <v>-</v>
      </c>
      <c r="F37" s="256"/>
      <c r="G37" s="463">
        <v>0</v>
      </c>
      <c r="H37" s="464">
        <v>0</v>
      </c>
      <c r="I37" s="451">
        <f t="shared" si="16"/>
        <v>0</v>
      </c>
      <c r="J37" s="221" t="str">
        <f t="shared" si="17"/>
        <v>-</v>
      </c>
      <c r="K37" s="256"/>
      <c r="L37" s="463">
        <v>0</v>
      </c>
      <c r="M37" s="695">
        <v>0</v>
      </c>
      <c r="N37" s="451">
        <f t="shared" si="26"/>
        <v>0</v>
      </c>
      <c r="O37" s="294" t="str">
        <f t="shared" si="18"/>
        <v>-</v>
      </c>
      <c r="P37" s="256"/>
      <c r="Q37" s="463">
        <v>0</v>
      </c>
      <c r="R37" s="695">
        <v>0</v>
      </c>
      <c r="S37" s="451">
        <f t="shared" si="19"/>
        <v>0</v>
      </c>
      <c r="T37" s="295" t="str">
        <f t="shared" si="20"/>
        <v>-</v>
      </c>
      <c r="U37" s="256"/>
      <c r="V37" s="450">
        <f t="shared" si="27"/>
        <v>0</v>
      </c>
      <c r="W37" s="451">
        <f t="shared" si="28"/>
        <v>0</v>
      </c>
      <c r="X37" s="451">
        <f t="shared" si="21"/>
        <v>0</v>
      </c>
      <c r="Y37" s="220" t="str">
        <f t="shared" si="22"/>
        <v>-</v>
      </c>
      <c r="Z37" s="256"/>
      <c r="AA37" s="450">
        <v>0</v>
      </c>
      <c r="AB37" s="451">
        <f t="shared" si="23"/>
        <v>0</v>
      </c>
      <c r="AC37" s="220" t="str">
        <f t="shared" si="24"/>
        <v>-</v>
      </c>
      <c r="AD37" s="256"/>
      <c r="AE37" s="549"/>
    </row>
    <row r="38" spans="1:31" x14ac:dyDescent="0.3">
      <c r="A38" s="190" t="s">
        <v>130</v>
      </c>
      <c r="B38" s="453">
        <v>18270.028716000001</v>
      </c>
      <c r="C38" s="453">
        <v>18648.016518</v>
      </c>
      <c r="D38" s="451">
        <f t="shared" si="15"/>
        <v>377.98780199999965</v>
      </c>
      <c r="E38" s="220">
        <f t="shared" si="25"/>
        <v>2.0688955002516024E-2</v>
      </c>
      <c r="F38" s="191"/>
      <c r="G38" s="463">
        <v>18270.028716000001</v>
      </c>
      <c r="H38" s="464">
        <v>18648.016518</v>
      </c>
      <c r="I38" s="451">
        <f t="shared" si="16"/>
        <v>377.98780199999965</v>
      </c>
      <c r="J38" s="221">
        <f t="shared" si="17"/>
        <v>2.0688955002516024E-2</v>
      </c>
      <c r="K38" s="191"/>
      <c r="L38" s="463">
        <v>18270.028716000001</v>
      </c>
      <c r="M38" s="695">
        <v>18204.006524</v>
      </c>
      <c r="N38" s="451">
        <f t="shared" si="26"/>
        <v>-66.022192000000359</v>
      </c>
      <c r="O38" s="220">
        <f t="shared" si="18"/>
        <v>-3.6136884635644463E-3</v>
      </c>
      <c r="P38" s="191"/>
      <c r="Q38" s="463">
        <v>18270.028716000001</v>
      </c>
      <c r="R38" s="695">
        <v>17315.986536</v>
      </c>
      <c r="S38" s="451">
        <f t="shared" si="19"/>
        <v>-954.04218000000037</v>
      </c>
      <c r="T38" s="221">
        <f t="shared" si="20"/>
        <v>-5.2218975395725391E-2</v>
      </c>
      <c r="U38" s="191"/>
      <c r="V38" s="450">
        <f t="shared" si="27"/>
        <v>73080.114864000003</v>
      </c>
      <c r="W38" s="451">
        <f>C38+H38+M38+R38</f>
        <v>72816.026096000001</v>
      </c>
      <c r="X38" s="451">
        <f t="shared" si="21"/>
        <v>-264.08876800000144</v>
      </c>
      <c r="Y38" s="220">
        <f t="shared" si="22"/>
        <v>-3.6136884635644463E-3</v>
      </c>
      <c r="Z38" s="191"/>
      <c r="AA38" s="450">
        <v>73080.114864000003</v>
      </c>
      <c r="AB38" s="451">
        <f t="shared" si="23"/>
        <v>264.08876800000144</v>
      </c>
      <c r="AC38" s="220">
        <f t="shared" si="24"/>
        <v>3.6136884635644463E-3</v>
      </c>
      <c r="AD38" s="191"/>
      <c r="AE38" s="851"/>
    </row>
    <row r="39" spans="1:31" x14ac:dyDescent="0.3">
      <c r="A39" s="190" t="s">
        <v>129</v>
      </c>
      <c r="B39" s="453">
        <v>0</v>
      </c>
      <c r="C39" s="453">
        <v>0</v>
      </c>
      <c r="D39" s="451">
        <f t="shared" si="15"/>
        <v>0</v>
      </c>
      <c r="E39" s="220" t="str">
        <f t="shared" si="25"/>
        <v>-</v>
      </c>
      <c r="F39" s="191"/>
      <c r="G39" s="463">
        <v>0</v>
      </c>
      <c r="H39" s="464">
        <v>0</v>
      </c>
      <c r="I39" s="451">
        <f t="shared" si="16"/>
        <v>0</v>
      </c>
      <c r="J39" s="221" t="str">
        <f t="shared" si="17"/>
        <v>-</v>
      </c>
      <c r="K39" s="191"/>
      <c r="L39" s="463">
        <v>0</v>
      </c>
      <c r="M39" s="695">
        <v>0</v>
      </c>
      <c r="N39" s="451">
        <f t="shared" si="26"/>
        <v>0</v>
      </c>
      <c r="O39" s="220" t="str">
        <f t="shared" si="18"/>
        <v>-</v>
      </c>
      <c r="P39" s="191"/>
      <c r="Q39" s="463">
        <v>0</v>
      </c>
      <c r="R39" s="695">
        <v>11661.008370000001</v>
      </c>
      <c r="S39" s="451">
        <f t="shared" si="19"/>
        <v>11661.008370000001</v>
      </c>
      <c r="T39" s="221" t="str">
        <f t="shared" si="20"/>
        <v>-</v>
      </c>
      <c r="U39" s="191"/>
      <c r="V39" s="450">
        <f t="shared" si="27"/>
        <v>0</v>
      </c>
      <c r="W39" s="451">
        <f t="shared" si="28"/>
        <v>11661.008370000001</v>
      </c>
      <c r="X39" s="451">
        <f t="shared" si="21"/>
        <v>11661.008370000001</v>
      </c>
      <c r="Y39" s="220" t="str">
        <f t="shared" si="22"/>
        <v>-</v>
      </c>
      <c r="Z39" s="191"/>
      <c r="AA39" s="450">
        <v>0</v>
      </c>
      <c r="AB39" s="451">
        <f t="shared" si="23"/>
        <v>-11661.008370000001</v>
      </c>
      <c r="AC39" s="220" t="str">
        <f t="shared" si="24"/>
        <v>-</v>
      </c>
      <c r="AD39" s="191"/>
      <c r="AE39" s="851"/>
    </row>
    <row r="40" spans="1:31" ht="30" x14ac:dyDescent="0.3">
      <c r="A40" s="258" t="s">
        <v>40</v>
      </c>
      <c r="B40" s="453">
        <v>1568.5109360000001</v>
      </c>
      <c r="C40" s="453">
        <v>1505.7952299999999</v>
      </c>
      <c r="D40" s="451">
        <f t="shared" si="15"/>
        <v>-62.715706000000182</v>
      </c>
      <c r="E40" s="220">
        <f t="shared" si="25"/>
        <v>-3.9984232535819675E-2</v>
      </c>
      <c r="F40" s="184"/>
      <c r="G40" s="479">
        <v>1050.0109200000002</v>
      </c>
      <c r="H40" s="480">
        <v>1561.4947340000001</v>
      </c>
      <c r="I40" s="451">
        <f t="shared" si="16"/>
        <v>511.48381399999994</v>
      </c>
      <c r="J40" s="260">
        <f t="shared" si="17"/>
        <v>0.48712237583205309</v>
      </c>
      <c r="K40" s="184"/>
      <c r="L40" s="697">
        <v>1596.575744</v>
      </c>
      <c r="M40" s="698">
        <v>2184.9958419999998</v>
      </c>
      <c r="N40" s="451">
        <f t="shared" si="26"/>
        <v>588.42009799999983</v>
      </c>
      <c r="O40" s="566">
        <f t="shared" si="18"/>
        <v>0.36855132004310337</v>
      </c>
      <c r="P40" s="184"/>
      <c r="Q40" s="697">
        <v>0</v>
      </c>
      <c r="R40" s="702">
        <v>0</v>
      </c>
      <c r="S40" s="451">
        <f t="shared" si="19"/>
        <v>0</v>
      </c>
      <c r="T40" s="260" t="str">
        <f t="shared" si="20"/>
        <v>-</v>
      </c>
      <c r="U40" s="184"/>
      <c r="V40" s="450">
        <f t="shared" si="27"/>
        <v>4215.0976000000001</v>
      </c>
      <c r="W40" s="451">
        <f t="shared" si="28"/>
        <v>5252.2858059999999</v>
      </c>
      <c r="X40" s="451">
        <f t="shared" si="21"/>
        <v>1037.1882059999998</v>
      </c>
      <c r="Y40" s="259">
        <f t="shared" si="22"/>
        <v>0.24606505102040813</v>
      </c>
      <c r="Z40" s="184"/>
      <c r="AA40" s="450">
        <v>4215.0976000000001</v>
      </c>
      <c r="AB40" s="451">
        <f t="shared" si="23"/>
        <v>-1037.1882059999998</v>
      </c>
      <c r="AC40" s="259">
        <f t="shared" si="24"/>
        <v>-0.24606505102040813</v>
      </c>
      <c r="AD40" s="184"/>
      <c r="AE40" s="1120" t="s">
        <v>199</v>
      </c>
    </row>
    <row r="41" spans="1:31" x14ac:dyDescent="0.3">
      <c r="A41" s="199" t="s">
        <v>83</v>
      </c>
      <c r="B41" s="469">
        <f>SUM(B33:B40)</f>
        <v>475360.13186600007</v>
      </c>
      <c r="C41" s="470">
        <f>SUM(C33:C40)</f>
        <v>472831.79912000004</v>
      </c>
      <c r="D41" s="470">
        <f>SUM(D33:D40)</f>
        <v>-2528.332746000081</v>
      </c>
      <c r="E41" s="347">
        <f>IF(ISERROR(D41/B41),"-",D41/B41)</f>
        <v>-5.3187732342534697E-3</v>
      </c>
      <c r="F41" s="191"/>
      <c r="G41" s="469">
        <f>SUM(G33:G40)</f>
        <v>474841.63185000006</v>
      </c>
      <c r="H41" s="470">
        <f>SUM(H33:H40)</f>
        <v>473873.79920400004</v>
      </c>
      <c r="I41" s="470">
        <f>SUM(I33:I40)</f>
        <v>-967.83264600006191</v>
      </c>
      <c r="J41" s="237">
        <f>IF(ISERROR(I41/G41),"-",I41/G41)</f>
        <v>-2.0382219693529211E-3</v>
      </c>
      <c r="K41" s="191"/>
      <c r="L41" s="469">
        <f>SUM(L33:L40)</f>
        <v>475388.19667400006</v>
      </c>
      <c r="M41" s="685">
        <f>SUM(M33:M40)</f>
        <v>475839.54545400001</v>
      </c>
      <c r="N41" s="686">
        <f>SUM(N33:N40)</f>
        <v>451.34877999987043</v>
      </c>
      <c r="O41" s="237">
        <f t="shared" si="18"/>
        <v>9.4943202872448519E-4</v>
      </c>
      <c r="P41" s="191"/>
      <c r="Q41" s="469">
        <f>SUM(Q33:Q40)</f>
        <v>473791.62093000009</v>
      </c>
      <c r="R41" s="685">
        <f>SUM(R33:R40)</f>
        <v>474223.88348999998</v>
      </c>
      <c r="S41" s="686">
        <f>SUM(S33:S40)</f>
        <v>432.26255999986824</v>
      </c>
      <c r="T41" s="237">
        <f t="shared" si="20"/>
        <v>9.1234741372459287E-4</v>
      </c>
      <c r="U41" s="191"/>
      <c r="V41" s="469">
        <f>SUM(V33:V40)</f>
        <v>1899381.5813200003</v>
      </c>
      <c r="W41" s="470">
        <f>SUM(W33:W40)</f>
        <v>1896769.0272679999</v>
      </c>
      <c r="X41" s="470">
        <f>SUM(X33:X40)</f>
        <v>-2612.5540520004661</v>
      </c>
      <c r="Y41" s="237">
        <f t="shared" si="22"/>
        <v>-1.3754761432322815E-3</v>
      </c>
      <c r="Z41" s="191"/>
      <c r="AA41" s="471">
        <f>SUM(AA33:AA40)</f>
        <v>1899381.5813200003</v>
      </c>
      <c r="AB41" s="471">
        <f>SUM(AB33:AB40)</f>
        <v>2612.5540520004661</v>
      </c>
      <c r="AC41" s="544">
        <f t="shared" si="24"/>
        <v>1.3754761432322815E-3</v>
      </c>
      <c r="AD41" s="191"/>
      <c r="AE41" s="852"/>
    </row>
    <row r="42" spans="1:31" x14ac:dyDescent="0.3">
      <c r="A42" s="242"/>
      <c r="B42" s="459"/>
      <c r="C42" s="460"/>
      <c r="D42" s="460"/>
      <c r="E42" s="532"/>
      <c r="F42" s="184"/>
      <c r="G42" s="461"/>
      <c r="H42" s="462"/>
      <c r="I42" s="462"/>
      <c r="J42" s="545"/>
      <c r="K42" s="184"/>
      <c r="L42" s="461"/>
      <c r="M42" s="687"/>
      <c r="N42" s="688"/>
      <c r="O42" s="532"/>
      <c r="P42" s="184"/>
      <c r="Q42" s="461"/>
      <c r="R42" s="462"/>
      <c r="S42" s="462"/>
      <c r="T42" s="545"/>
      <c r="U42" s="184"/>
      <c r="V42" s="459"/>
      <c r="W42" s="460"/>
      <c r="X42" s="460"/>
      <c r="Y42" s="213"/>
      <c r="Z42" s="184"/>
      <c r="AA42" s="459"/>
      <c r="AB42" s="460"/>
      <c r="AC42" s="213"/>
      <c r="AD42" s="184"/>
      <c r="AE42" s="850"/>
    </row>
    <row r="43" spans="1:31" x14ac:dyDescent="0.3">
      <c r="A43" s="172" t="s">
        <v>84</v>
      </c>
      <c r="B43" s="481"/>
      <c r="C43" s="482"/>
      <c r="D43" s="482"/>
      <c r="E43" s="546"/>
      <c r="F43" s="175"/>
      <c r="G43" s="483"/>
      <c r="H43" s="484"/>
      <c r="I43" s="484"/>
      <c r="J43" s="547"/>
      <c r="K43" s="175"/>
      <c r="L43" s="483"/>
      <c r="M43" s="699"/>
      <c r="N43" s="700"/>
      <c r="O43" s="546"/>
      <c r="P43" s="175"/>
      <c r="Q43" s="483"/>
      <c r="R43" s="484"/>
      <c r="S43" s="484"/>
      <c r="T43" s="547"/>
      <c r="U43" s="175"/>
      <c r="V43" s="481"/>
      <c r="W43" s="482"/>
      <c r="X43" s="451"/>
      <c r="Y43" s="251"/>
      <c r="Z43" s="175"/>
      <c r="AA43" s="481"/>
      <c r="AB43" s="451"/>
      <c r="AC43" s="251"/>
      <c r="AD43" s="175"/>
      <c r="AE43" s="850"/>
    </row>
    <row r="44" spans="1:31" ht="31.5" x14ac:dyDescent="0.3">
      <c r="A44" s="190" t="s">
        <v>85</v>
      </c>
      <c r="B44" s="453">
        <v>0</v>
      </c>
      <c r="C44" s="453">
        <v>0</v>
      </c>
      <c r="D44" s="451">
        <f t="shared" ref="D44:D75" si="29">C44-B44</f>
        <v>0</v>
      </c>
      <c r="E44" s="220" t="str">
        <f t="shared" ref="E44:E50" si="30">IF(ISERROR(D44/B44),"-",D44/B44)</f>
        <v>-</v>
      </c>
      <c r="F44" s="191"/>
      <c r="G44" s="463">
        <v>0</v>
      </c>
      <c r="H44" s="464">
        <v>0</v>
      </c>
      <c r="I44" s="451">
        <f t="shared" ref="I44:I75" si="31">H44-G44</f>
        <v>0</v>
      </c>
      <c r="J44" s="221" t="str">
        <f t="shared" ref="J44:J50" si="32">IF(ISERROR(I44/G44),"-",I44/G44)</f>
        <v>-</v>
      </c>
      <c r="K44" s="191"/>
      <c r="L44" s="463">
        <v>2688.2000000000003</v>
      </c>
      <c r="M44" s="695">
        <v>1832.9222880000002</v>
      </c>
      <c r="N44" s="451">
        <f t="shared" ref="N44:N75" si="33">M44-L44</f>
        <v>-855.27771200000007</v>
      </c>
      <c r="O44" s="220">
        <f t="shared" ref="O44:O50" si="34">IF(ISERROR(N44/L44),"-",N44/L44)</f>
        <v>-0.31816</v>
      </c>
      <c r="P44" s="191"/>
      <c r="Q44" s="463">
        <v>12096.900000000001</v>
      </c>
      <c r="R44" s="464">
        <v>3104.7097080000003</v>
      </c>
      <c r="S44" s="451">
        <f t="shared" ref="S44:S75" si="35">R44-Q44</f>
        <v>-8992.1902920000011</v>
      </c>
      <c r="T44" s="221">
        <f t="shared" ref="T44:T51" si="36">IF(ISERROR(S44/Q44),"-",S44/Q44)</f>
        <v>-0.74334666666666671</v>
      </c>
      <c r="U44" s="191"/>
      <c r="V44" s="705">
        <f>B44+G44+L44+Q44</f>
        <v>14785.100000000002</v>
      </c>
      <c r="W44" s="451">
        <f>C44+H44+M44+R44</f>
        <v>4937.6319960000001</v>
      </c>
      <c r="X44" s="451">
        <f>W44-V44</f>
        <v>-9847.4680040000021</v>
      </c>
      <c r="Y44" s="220">
        <f>IF(ISERROR(X44/V44),"-",X44/V44)</f>
        <v>-0.66604000000000008</v>
      </c>
      <c r="Z44" s="191"/>
      <c r="AA44" s="450">
        <v>14785.1</v>
      </c>
      <c r="AB44" s="451">
        <f t="shared" ref="AB44:AB50" si="37">AA44-W44</f>
        <v>9847.4680040000003</v>
      </c>
      <c r="AC44" s="220">
        <f t="shared" ref="AC44:AC50" si="38">IF(ISERROR(AB44/AA44),"-",AB44/AA44)</f>
        <v>0.66603999999999997</v>
      </c>
      <c r="AD44" s="191"/>
      <c r="AE44" s="1140" t="s">
        <v>210</v>
      </c>
    </row>
    <row r="45" spans="1:31" x14ac:dyDescent="0.3">
      <c r="A45" s="190" t="s">
        <v>128</v>
      </c>
      <c r="B45" s="453">
        <v>0</v>
      </c>
      <c r="C45" s="453">
        <v>0</v>
      </c>
      <c r="D45" s="451">
        <f t="shared" si="29"/>
        <v>0</v>
      </c>
      <c r="E45" s="220" t="str">
        <f t="shared" si="30"/>
        <v>-</v>
      </c>
      <c r="F45" s="256"/>
      <c r="G45" s="463">
        <v>0</v>
      </c>
      <c r="H45" s="464">
        <v>0</v>
      </c>
      <c r="I45" s="451">
        <f t="shared" si="31"/>
        <v>0</v>
      </c>
      <c r="J45" s="221" t="str">
        <f t="shared" si="32"/>
        <v>-</v>
      </c>
      <c r="K45" s="256"/>
      <c r="L45" s="463">
        <v>0</v>
      </c>
      <c r="M45" s="695">
        <v>0</v>
      </c>
      <c r="N45" s="451">
        <f t="shared" si="33"/>
        <v>0</v>
      </c>
      <c r="O45" s="220" t="str">
        <f t="shared" si="34"/>
        <v>-</v>
      </c>
      <c r="P45" s="256"/>
      <c r="Q45" s="463">
        <v>36290.699999999997</v>
      </c>
      <c r="R45" s="695">
        <v>30217.384150000002</v>
      </c>
      <c r="S45" s="451">
        <f t="shared" si="35"/>
        <v>-6073.3158499999954</v>
      </c>
      <c r="T45" s="221">
        <f t="shared" si="36"/>
        <v>-0.16735185185185175</v>
      </c>
      <c r="U45" s="256"/>
      <c r="V45" s="705">
        <f t="shared" ref="V45:V75" si="39">B45+G45+L45+Q45</f>
        <v>36290.699999999997</v>
      </c>
      <c r="W45" s="451">
        <f t="shared" ref="W45:W75" si="40">C45+H45+M45+R45</f>
        <v>30217.384150000002</v>
      </c>
      <c r="X45" s="451">
        <f t="shared" ref="X45:X75" si="41">W45-V45</f>
        <v>-6073.3158499999954</v>
      </c>
      <c r="Y45" s="220">
        <f t="shared" ref="Y45:Y76" si="42">IF(ISERROR(X45/V45),"-",X45/V45)</f>
        <v>-0.16735185185185175</v>
      </c>
      <c r="Z45" s="256"/>
      <c r="AA45" s="450">
        <v>36290.699999999997</v>
      </c>
      <c r="AB45" s="451">
        <f t="shared" si="37"/>
        <v>6073.3158499999954</v>
      </c>
      <c r="AC45" s="220">
        <f t="shared" si="38"/>
        <v>0.16735185185185175</v>
      </c>
      <c r="AD45" s="256"/>
      <c r="AE45" s="1099"/>
    </row>
    <row r="46" spans="1:31" x14ac:dyDescent="0.3">
      <c r="A46" s="190" t="s">
        <v>127</v>
      </c>
      <c r="B46" s="453">
        <v>0</v>
      </c>
      <c r="C46" s="453">
        <v>0</v>
      </c>
      <c r="D46" s="451">
        <f t="shared" si="29"/>
        <v>0</v>
      </c>
      <c r="E46" s="294" t="str">
        <f t="shared" si="30"/>
        <v>-</v>
      </c>
      <c r="F46" s="256"/>
      <c r="G46" s="674">
        <v>0</v>
      </c>
      <c r="H46" s="677">
        <v>0</v>
      </c>
      <c r="I46" s="451">
        <f t="shared" si="31"/>
        <v>0</v>
      </c>
      <c r="J46" s="295" t="str">
        <f t="shared" si="32"/>
        <v>-</v>
      </c>
      <c r="K46" s="256"/>
      <c r="L46" s="674">
        <v>0</v>
      </c>
      <c r="M46" s="689">
        <v>0</v>
      </c>
      <c r="N46" s="451">
        <f t="shared" si="33"/>
        <v>0</v>
      </c>
      <c r="O46" s="294" t="str">
        <f t="shared" si="34"/>
        <v>-</v>
      </c>
      <c r="P46" s="256"/>
      <c r="Q46" s="622">
        <v>0</v>
      </c>
      <c r="R46" s="695">
        <v>0</v>
      </c>
      <c r="S46" s="451">
        <f t="shared" si="35"/>
        <v>0</v>
      </c>
      <c r="T46" s="295" t="str">
        <f t="shared" si="36"/>
        <v>-</v>
      </c>
      <c r="U46" s="256"/>
      <c r="V46" s="705">
        <f t="shared" si="39"/>
        <v>0</v>
      </c>
      <c r="W46" s="451">
        <f t="shared" si="40"/>
        <v>0</v>
      </c>
      <c r="X46" s="451">
        <f t="shared" si="41"/>
        <v>0</v>
      </c>
      <c r="Y46" s="220" t="str">
        <f t="shared" si="42"/>
        <v>-</v>
      </c>
      <c r="Z46" s="256"/>
      <c r="AA46" s="450">
        <v>0</v>
      </c>
      <c r="AB46" s="451">
        <f t="shared" si="37"/>
        <v>0</v>
      </c>
      <c r="AC46" s="294" t="str">
        <f t="shared" si="38"/>
        <v>-</v>
      </c>
      <c r="AD46" s="256"/>
      <c r="AE46" s="850"/>
    </row>
    <row r="47" spans="1:31" x14ac:dyDescent="0.3">
      <c r="A47" s="190" t="s">
        <v>86</v>
      </c>
      <c r="B47" s="453">
        <v>1510.7684000000002</v>
      </c>
      <c r="C47" s="453">
        <v>1865.9871480000002</v>
      </c>
      <c r="D47" s="451">
        <f t="shared" si="29"/>
        <v>355.21874800000001</v>
      </c>
      <c r="E47" s="220">
        <f t="shared" si="30"/>
        <v>0.23512455516014233</v>
      </c>
      <c r="F47" s="256"/>
      <c r="G47" s="463">
        <v>1067.2154</v>
      </c>
      <c r="H47" s="464">
        <v>881.72960000000012</v>
      </c>
      <c r="I47" s="451">
        <f t="shared" si="31"/>
        <v>-185.48579999999993</v>
      </c>
      <c r="J47" s="221">
        <f t="shared" si="32"/>
        <v>-0.17380352644836264</v>
      </c>
      <c r="K47" s="256"/>
      <c r="L47" s="463">
        <v>1349.4764</v>
      </c>
      <c r="M47" s="695">
        <v>1742.7869420000002</v>
      </c>
      <c r="N47" s="451">
        <f t="shared" si="33"/>
        <v>393.31054200000017</v>
      </c>
      <c r="O47" s="220">
        <f t="shared" si="34"/>
        <v>0.2914541832669324</v>
      </c>
      <c r="P47" s="256"/>
      <c r="Q47" s="463">
        <v>2142.4954000000002</v>
      </c>
      <c r="R47" s="695">
        <v>1482.67671</v>
      </c>
      <c r="S47" s="451">
        <f t="shared" si="35"/>
        <v>-659.81869000000029</v>
      </c>
      <c r="T47" s="221">
        <f t="shared" si="36"/>
        <v>-0.30796737766624854</v>
      </c>
      <c r="U47" s="256"/>
      <c r="V47" s="705">
        <f t="shared" si="39"/>
        <v>6069.9556000000002</v>
      </c>
      <c r="W47" s="451">
        <f t="shared" si="40"/>
        <v>5973.1804000000002</v>
      </c>
      <c r="X47" s="451">
        <f t="shared" si="41"/>
        <v>-96.775200000000041</v>
      </c>
      <c r="Y47" s="220">
        <f t="shared" si="42"/>
        <v>-1.5943312666076178E-2</v>
      </c>
      <c r="Z47" s="256"/>
      <c r="AA47" s="450">
        <v>6069.9556000000011</v>
      </c>
      <c r="AB47" s="451">
        <f t="shared" si="37"/>
        <v>96.77520000000095</v>
      </c>
      <c r="AC47" s="220">
        <f t="shared" si="38"/>
        <v>1.5943312666076327E-2</v>
      </c>
      <c r="AD47" s="256"/>
      <c r="AE47" s="1099"/>
    </row>
    <row r="48" spans="1:31" x14ac:dyDescent="0.3">
      <c r="A48" s="190" t="s">
        <v>87</v>
      </c>
      <c r="B48" s="453">
        <v>21505.600000000002</v>
      </c>
      <c r="C48" s="453">
        <v>21505.600000000002</v>
      </c>
      <c r="D48" s="451">
        <f t="shared" si="29"/>
        <v>0</v>
      </c>
      <c r="E48" s="220">
        <f t="shared" si="30"/>
        <v>0</v>
      </c>
      <c r="F48" s="256"/>
      <c r="G48" s="463">
        <v>21505.600000000002</v>
      </c>
      <c r="H48" s="464">
        <v>21505.600000000002</v>
      </c>
      <c r="I48" s="451">
        <f t="shared" si="31"/>
        <v>0</v>
      </c>
      <c r="J48" s="221">
        <f t="shared" si="32"/>
        <v>0</v>
      </c>
      <c r="K48" s="256"/>
      <c r="L48" s="463">
        <v>88576.19</v>
      </c>
      <c r="M48" s="695">
        <v>74784.56807400001</v>
      </c>
      <c r="N48" s="451">
        <f t="shared" si="33"/>
        <v>-13791.621925999993</v>
      </c>
      <c r="O48" s="294">
        <f t="shared" si="34"/>
        <v>-0.15570349013657048</v>
      </c>
      <c r="P48" s="256"/>
      <c r="Q48" s="463">
        <v>43011.200000000004</v>
      </c>
      <c r="R48" s="695">
        <v>36021.880000000005</v>
      </c>
      <c r="S48" s="451">
        <f t="shared" si="35"/>
        <v>-6989.32</v>
      </c>
      <c r="T48" s="221">
        <f t="shared" si="36"/>
        <v>-0.16249999999999998</v>
      </c>
      <c r="U48" s="256"/>
      <c r="V48" s="705">
        <f t="shared" si="39"/>
        <v>174598.59000000003</v>
      </c>
      <c r="W48" s="451">
        <f t="shared" si="40"/>
        <v>153817.64807400003</v>
      </c>
      <c r="X48" s="451">
        <f t="shared" si="41"/>
        <v>-20780.941926</v>
      </c>
      <c r="Y48" s="220">
        <f t="shared" si="42"/>
        <v>-0.11902124711316395</v>
      </c>
      <c r="Z48" s="256"/>
      <c r="AA48" s="450">
        <v>174598.59000000003</v>
      </c>
      <c r="AB48" s="451">
        <f t="shared" si="37"/>
        <v>20780.941926</v>
      </c>
      <c r="AC48" s="220">
        <f t="shared" si="38"/>
        <v>0.11902124711316395</v>
      </c>
      <c r="AD48" s="256"/>
      <c r="AE48" s="1098"/>
    </row>
    <row r="49" spans="1:31" x14ac:dyDescent="0.3">
      <c r="A49" s="190" t="s">
        <v>88</v>
      </c>
      <c r="B49" s="453">
        <v>3750.0390000000002</v>
      </c>
      <c r="C49" s="453">
        <v>3589.0695840000003</v>
      </c>
      <c r="D49" s="451">
        <f t="shared" si="29"/>
        <v>-160.96941599999991</v>
      </c>
      <c r="E49" s="220">
        <f t="shared" si="30"/>
        <v>-4.2924731182795675E-2</v>
      </c>
      <c r="F49" s="191"/>
      <c r="G49" s="463">
        <v>3750.0390000000002</v>
      </c>
      <c r="H49" s="464">
        <v>3491.1922220000001</v>
      </c>
      <c r="I49" s="451">
        <f t="shared" si="31"/>
        <v>-258.84677800000009</v>
      </c>
      <c r="J49" s="221">
        <f t="shared" si="32"/>
        <v>-6.902508960573478E-2</v>
      </c>
      <c r="K49" s="191"/>
      <c r="L49" s="463">
        <v>3750.0390000000002</v>
      </c>
      <c r="M49" s="695">
        <v>3726.221548</v>
      </c>
      <c r="N49" s="451">
        <f t="shared" si="33"/>
        <v>-23.81745200000023</v>
      </c>
      <c r="O49" s="220">
        <f t="shared" si="34"/>
        <v>-6.3512544802867997E-3</v>
      </c>
      <c r="P49" s="191"/>
      <c r="Q49" s="463">
        <v>3750.0390000000002</v>
      </c>
      <c r="R49" s="695">
        <v>3453.3692480000004</v>
      </c>
      <c r="S49" s="451">
        <f t="shared" si="35"/>
        <v>-296.66975199999979</v>
      </c>
      <c r="T49" s="221">
        <f t="shared" si="36"/>
        <v>-7.9111111111111049E-2</v>
      </c>
      <c r="U49" s="191"/>
      <c r="V49" s="705">
        <f t="shared" si="39"/>
        <v>15000.156000000001</v>
      </c>
      <c r="W49" s="451">
        <f t="shared" si="40"/>
        <v>14259.852602000001</v>
      </c>
      <c r="X49" s="451">
        <f t="shared" si="41"/>
        <v>-740.30339800000002</v>
      </c>
      <c r="Y49" s="220">
        <f t="shared" si="42"/>
        <v>-4.9353046594982075E-2</v>
      </c>
      <c r="Z49" s="191"/>
      <c r="AA49" s="450">
        <v>15000.156000000001</v>
      </c>
      <c r="AB49" s="451">
        <f t="shared" si="37"/>
        <v>740.30339800000002</v>
      </c>
      <c r="AC49" s="220">
        <f t="shared" si="38"/>
        <v>4.9353046594982075E-2</v>
      </c>
      <c r="AD49" s="191"/>
      <c r="AE49" s="853"/>
    </row>
    <row r="50" spans="1:31" x14ac:dyDescent="0.3">
      <c r="A50" s="190" t="s">
        <v>89</v>
      </c>
      <c r="B50" s="453">
        <v>4838.76</v>
      </c>
      <c r="C50" s="453">
        <v>4819.9426000000003</v>
      </c>
      <c r="D50" s="451">
        <f t="shared" si="29"/>
        <v>-18.817399999999907</v>
      </c>
      <c r="E50" s="220">
        <f t="shared" si="30"/>
        <v>-3.8888888888888693E-3</v>
      </c>
      <c r="F50" s="191"/>
      <c r="G50" s="463">
        <v>0</v>
      </c>
      <c r="H50" s="464">
        <v>672.05000000000007</v>
      </c>
      <c r="I50" s="451">
        <f t="shared" si="31"/>
        <v>672.05000000000007</v>
      </c>
      <c r="J50" s="221" t="str">
        <f t="shared" si="32"/>
        <v>-</v>
      </c>
      <c r="K50" s="191"/>
      <c r="L50" s="463">
        <v>4838.76</v>
      </c>
      <c r="M50" s="695">
        <v>2688.2000000000003</v>
      </c>
      <c r="N50" s="451">
        <f t="shared" si="33"/>
        <v>-2150.56</v>
      </c>
      <c r="O50" s="220">
        <f t="shared" si="34"/>
        <v>-0.44444444444444442</v>
      </c>
      <c r="P50" s="191"/>
      <c r="Q50" s="622">
        <v>85162.176000000007</v>
      </c>
      <c r="R50" s="689">
        <v>71320.6342</v>
      </c>
      <c r="S50" s="451">
        <f t="shared" si="35"/>
        <v>-13841.541800000006</v>
      </c>
      <c r="T50" s="221">
        <f t="shared" si="36"/>
        <v>-0.16253156565656571</v>
      </c>
      <c r="U50" s="191"/>
      <c r="V50" s="705">
        <f t="shared" si="39"/>
        <v>94839.696000000011</v>
      </c>
      <c r="W50" s="451">
        <f t="shared" si="40"/>
        <v>79500.826799999995</v>
      </c>
      <c r="X50" s="451">
        <f t="shared" si="41"/>
        <v>-15338.869200000016</v>
      </c>
      <c r="Y50" s="220">
        <f t="shared" si="42"/>
        <v>-0.16173469387755116</v>
      </c>
      <c r="Z50" s="191"/>
      <c r="AA50" s="450">
        <v>94839.696000000011</v>
      </c>
      <c r="AB50" s="451">
        <f t="shared" si="37"/>
        <v>15338.869200000016</v>
      </c>
      <c r="AC50" s="220">
        <f t="shared" si="38"/>
        <v>0.16173469387755116</v>
      </c>
      <c r="AD50" s="191"/>
      <c r="AE50" s="853"/>
    </row>
    <row r="51" spans="1:31" x14ac:dyDescent="0.3">
      <c r="A51" s="190" t="s">
        <v>113</v>
      </c>
      <c r="B51" s="453"/>
      <c r="C51" s="453"/>
      <c r="D51" s="451">
        <f t="shared" si="29"/>
        <v>0</v>
      </c>
      <c r="E51" s="220"/>
      <c r="F51" s="191"/>
      <c r="G51" s="463"/>
      <c r="H51" s="464"/>
      <c r="I51" s="451">
        <f t="shared" si="31"/>
        <v>0</v>
      </c>
      <c r="J51" s="221"/>
      <c r="K51" s="191"/>
      <c r="L51" s="463">
        <v>0</v>
      </c>
      <c r="M51" s="695">
        <v>0</v>
      </c>
      <c r="N51" s="451">
        <f t="shared" si="33"/>
        <v>0</v>
      </c>
      <c r="O51" s="220"/>
      <c r="P51" s="191"/>
      <c r="Q51" s="463">
        <v>0</v>
      </c>
      <c r="R51" s="695">
        <v>0</v>
      </c>
      <c r="S51" s="451">
        <f t="shared" si="35"/>
        <v>0</v>
      </c>
      <c r="T51" s="221" t="str">
        <f t="shared" si="36"/>
        <v>-</v>
      </c>
      <c r="U51" s="191"/>
      <c r="V51" s="705">
        <f t="shared" si="39"/>
        <v>0</v>
      </c>
      <c r="W51" s="451">
        <f t="shared" si="40"/>
        <v>0</v>
      </c>
      <c r="X51" s="451">
        <f t="shared" si="41"/>
        <v>0</v>
      </c>
      <c r="Y51" s="220" t="str">
        <f t="shared" si="42"/>
        <v>-</v>
      </c>
      <c r="Z51" s="191"/>
      <c r="AA51" s="450"/>
      <c r="AB51" s="451"/>
      <c r="AC51" s="220"/>
      <c r="AD51" s="191"/>
      <c r="AE51" s="853"/>
    </row>
    <row r="52" spans="1:31" x14ac:dyDescent="0.3">
      <c r="A52" s="190" t="s">
        <v>126</v>
      </c>
      <c r="B52" s="453">
        <v>0</v>
      </c>
      <c r="C52" s="453">
        <v>0</v>
      </c>
      <c r="D52" s="451">
        <f t="shared" si="29"/>
        <v>0</v>
      </c>
      <c r="E52" s="220" t="str">
        <f>IF(ISERROR(D52/B52),"-",D52/B52)</f>
        <v>-</v>
      </c>
      <c r="F52" s="256"/>
      <c r="G52" s="678">
        <v>0</v>
      </c>
      <c r="H52" s="679">
        <v>0</v>
      </c>
      <c r="I52" s="451">
        <f t="shared" si="31"/>
        <v>0</v>
      </c>
      <c r="J52" s="221" t="str">
        <f>IF(ISERROR(I52/G52),"-",I52/G52)</f>
        <v>-</v>
      </c>
      <c r="K52" s="256"/>
      <c r="L52" s="678">
        <v>0</v>
      </c>
      <c r="M52" s="701">
        <v>0</v>
      </c>
      <c r="N52" s="451">
        <f t="shared" si="33"/>
        <v>0</v>
      </c>
      <c r="O52" s="220" t="str">
        <f>IF(ISERROR(N52/L52),"-",N52/L52)</f>
        <v>-</v>
      </c>
      <c r="P52" s="256"/>
      <c r="Q52" s="622">
        <v>104703.75019799999</v>
      </c>
      <c r="R52" s="695">
        <v>78302.158420000007</v>
      </c>
      <c r="S52" s="451">
        <f t="shared" si="35"/>
        <v>-26401.591777999987</v>
      </c>
      <c r="T52" s="221">
        <f>IF(ISERROR(S52/Q52),"-",S52/Q52)</f>
        <v>-0.25215516854050851</v>
      </c>
      <c r="U52" s="256"/>
      <c r="V52" s="705">
        <f t="shared" si="39"/>
        <v>104703.75019799999</v>
      </c>
      <c r="W52" s="451">
        <f t="shared" si="40"/>
        <v>78302.158420000007</v>
      </c>
      <c r="X52" s="451">
        <f t="shared" si="41"/>
        <v>-26401.591777999987</v>
      </c>
      <c r="Y52" s="220">
        <f t="shared" si="42"/>
        <v>-0.25215516854050851</v>
      </c>
      <c r="Z52" s="256"/>
      <c r="AA52" s="450">
        <v>104703.75019799999</v>
      </c>
      <c r="AB52" s="451">
        <f>AA52-W52</f>
        <v>26401.591777999987</v>
      </c>
      <c r="AC52" s="220">
        <f>IF(ISERROR(AB52/AA52),"-",AB52/AA52)</f>
        <v>0.25215516854050851</v>
      </c>
      <c r="AD52" s="256"/>
      <c r="AE52" s="1098"/>
    </row>
    <row r="53" spans="1:31" x14ac:dyDescent="0.3">
      <c r="A53" s="190" t="s">
        <v>82</v>
      </c>
      <c r="B53" s="453">
        <v>0</v>
      </c>
      <c r="C53" s="453">
        <v>0</v>
      </c>
      <c r="D53" s="451">
        <f t="shared" si="29"/>
        <v>0</v>
      </c>
      <c r="E53" s="220" t="str">
        <f>IF(ISERROR(D53/B53),"-",D53/B53)</f>
        <v>-</v>
      </c>
      <c r="F53" s="256"/>
      <c r="G53" s="678">
        <v>0</v>
      </c>
      <c r="H53" s="679">
        <v>0</v>
      </c>
      <c r="I53" s="451">
        <f t="shared" si="31"/>
        <v>0</v>
      </c>
      <c r="J53" s="221" t="str">
        <f>IF(ISERROR(I53/G53),"-",I53/G53)</f>
        <v>-</v>
      </c>
      <c r="K53" s="256"/>
      <c r="L53" s="678">
        <v>0</v>
      </c>
      <c r="M53" s="701">
        <v>0</v>
      </c>
      <c r="N53" s="451">
        <f t="shared" si="33"/>
        <v>0</v>
      </c>
      <c r="O53" s="220" t="str">
        <f>IF(ISERROR(N53/L53),"-",N53/L53)</f>
        <v>-</v>
      </c>
      <c r="P53" s="256"/>
      <c r="Q53" s="622">
        <v>0</v>
      </c>
      <c r="R53" s="689">
        <v>0</v>
      </c>
      <c r="S53" s="451">
        <f t="shared" si="35"/>
        <v>0</v>
      </c>
      <c r="T53" s="221" t="str">
        <f>IF(ISERROR(S53/Q53),"-",S53/Q53)</f>
        <v>-</v>
      </c>
      <c r="U53" s="256"/>
      <c r="V53" s="705">
        <f t="shared" si="39"/>
        <v>0</v>
      </c>
      <c r="W53" s="451">
        <f t="shared" si="40"/>
        <v>0</v>
      </c>
      <c r="X53" s="451">
        <f t="shared" si="41"/>
        <v>0</v>
      </c>
      <c r="Y53" s="220" t="str">
        <f t="shared" si="42"/>
        <v>-</v>
      </c>
      <c r="Z53" s="256"/>
      <c r="AA53" s="450">
        <v>0</v>
      </c>
      <c r="AB53" s="451">
        <f>AA53-W53</f>
        <v>0</v>
      </c>
      <c r="AC53" s="220" t="str">
        <f>IF(ISERROR(AB53/AA53),"-",AB53/AA53)</f>
        <v>-</v>
      </c>
      <c r="AD53" s="256"/>
      <c r="AE53" s="851"/>
    </row>
    <row r="54" spans="1:31" x14ac:dyDescent="0.3">
      <c r="A54" s="190" t="s">
        <v>125</v>
      </c>
      <c r="B54" s="453"/>
      <c r="C54" s="453"/>
      <c r="D54" s="451">
        <f t="shared" si="29"/>
        <v>0</v>
      </c>
      <c r="E54" s="220" t="str">
        <f>IF(ISERROR(D54/B54),"-",D54/B54)</f>
        <v>-</v>
      </c>
      <c r="F54" s="256"/>
      <c r="G54" s="680"/>
      <c r="H54" s="679"/>
      <c r="I54" s="451">
        <f t="shared" si="31"/>
        <v>0</v>
      </c>
      <c r="J54" s="221"/>
      <c r="K54" s="256"/>
      <c r="L54" s="680">
        <v>0</v>
      </c>
      <c r="M54" s="701">
        <v>0</v>
      </c>
      <c r="N54" s="451">
        <f t="shared" si="33"/>
        <v>0</v>
      </c>
      <c r="O54" s="220" t="str">
        <f>IF(ISERROR(N54/L54),"-",N54/L54)</f>
        <v>-</v>
      </c>
      <c r="P54" s="256" t="s">
        <v>65</v>
      </c>
      <c r="Q54" s="622">
        <v>0</v>
      </c>
      <c r="R54" s="695">
        <v>0</v>
      </c>
      <c r="S54" s="451">
        <f t="shared" si="35"/>
        <v>0</v>
      </c>
      <c r="T54" s="221" t="str">
        <f>IF(ISERROR(S54/Q54),"-",S54/Q54)</f>
        <v>-</v>
      </c>
      <c r="U54" s="256"/>
      <c r="V54" s="705">
        <f t="shared" si="39"/>
        <v>0</v>
      </c>
      <c r="W54" s="451">
        <f t="shared" si="40"/>
        <v>0</v>
      </c>
      <c r="X54" s="451">
        <f t="shared" si="41"/>
        <v>0</v>
      </c>
      <c r="Y54" s="220" t="str">
        <f t="shared" si="42"/>
        <v>-</v>
      </c>
      <c r="Z54" s="256"/>
      <c r="AA54" s="450"/>
      <c r="AB54" s="451"/>
      <c r="AC54" s="220"/>
      <c r="AD54" s="256"/>
      <c r="AE54" s="851"/>
    </row>
    <row r="55" spans="1:31" x14ac:dyDescent="0.3">
      <c r="A55" s="190" t="s">
        <v>90</v>
      </c>
      <c r="B55" s="453">
        <v>0</v>
      </c>
      <c r="C55" s="453">
        <v>0</v>
      </c>
      <c r="D55" s="451">
        <f t="shared" si="29"/>
        <v>0</v>
      </c>
      <c r="E55" s="220" t="str">
        <f t="shared" ref="E55:E76" si="43">IF(ISERROR(D55/B55),"-",D55/B55)</f>
        <v>-</v>
      </c>
      <c r="F55" s="256"/>
      <c r="G55" s="678">
        <v>0</v>
      </c>
      <c r="H55" s="679">
        <v>0</v>
      </c>
      <c r="I55" s="451">
        <f t="shared" si="31"/>
        <v>0</v>
      </c>
      <c r="J55" s="221" t="str">
        <f t="shared" ref="J55:J75" si="44">IF(ISERROR(I55/G55),"-",I55/G55)</f>
        <v>-</v>
      </c>
      <c r="K55" s="256"/>
      <c r="L55" s="678">
        <v>0</v>
      </c>
      <c r="M55" s="431">
        <v>0</v>
      </c>
      <c r="N55" s="451">
        <f t="shared" si="33"/>
        <v>0</v>
      </c>
      <c r="O55" s="220" t="str">
        <f t="shared" ref="O55:O72" si="45">IF(ISERROR(N55/L55),"-",N55/L55)</f>
        <v>-</v>
      </c>
      <c r="P55" s="256"/>
      <c r="Q55" s="622">
        <v>0</v>
      </c>
      <c r="R55" s="689">
        <v>0</v>
      </c>
      <c r="S55" s="451">
        <f t="shared" si="35"/>
        <v>0</v>
      </c>
      <c r="T55" s="221" t="str">
        <f t="shared" ref="T55:T72" si="46">IF(ISERROR(S55/Q55),"-",S55/Q55)</f>
        <v>-</v>
      </c>
      <c r="U55" s="256"/>
      <c r="V55" s="705">
        <f t="shared" si="39"/>
        <v>0</v>
      </c>
      <c r="W55" s="451">
        <f t="shared" si="40"/>
        <v>0</v>
      </c>
      <c r="X55" s="451">
        <f t="shared" si="41"/>
        <v>0</v>
      </c>
      <c r="Y55" s="220" t="str">
        <f t="shared" si="42"/>
        <v>-</v>
      </c>
      <c r="Z55" s="256"/>
      <c r="AA55" s="450">
        <v>0</v>
      </c>
      <c r="AB55" s="451">
        <v>0</v>
      </c>
      <c r="AC55" s="220" t="str">
        <f t="shared" ref="AC55:AC76" si="47">IF(ISERROR(AB55/AA55),"-",AB55/AA55)</f>
        <v>-</v>
      </c>
      <c r="AD55" s="256"/>
      <c r="AE55" s="523"/>
    </row>
    <row r="56" spans="1:31" ht="22.5" customHeight="1" x14ac:dyDescent="0.3">
      <c r="A56" s="190" t="s">
        <v>91</v>
      </c>
      <c r="B56" s="453">
        <v>672.05000000000007</v>
      </c>
      <c r="C56" s="453">
        <v>917.96653600000013</v>
      </c>
      <c r="D56" s="451">
        <f t="shared" si="29"/>
        <v>245.91653600000006</v>
      </c>
      <c r="E56" s="294">
        <f t="shared" si="43"/>
        <v>0.36592000000000008</v>
      </c>
      <c r="F56" s="256"/>
      <c r="G56" s="680">
        <v>1155.9260000000002</v>
      </c>
      <c r="H56" s="679">
        <v>848.74538600000005</v>
      </c>
      <c r="I56" s="451">
        <f t="shared" si="31"/>
        <v>-307.18061400000011</v>
      </c>
      <c r="J56" s="295">
        <f t="shared" si="44"/>
        <v>-0.26574418604651168</v>
      </c>
      <c r="K56" s="256"/>
      <c r="L56" s="680">
        <v>9650.6380000000008</v>
      </c>
      <c r="M56" s="431">
        <v>9804.9137980000014</v>
      </c>
      <c r="N56" s="451">
        <f t="shared" si="33"/>
        <v>154.27579800000058</v>
      </c>
      <c r="O56" s="294">
        <f t="shared" si="45"/>
        <v>1.5986072423398386E-2</v>
      </c>
      <c r="P56" s="256"/>
      <c r="Q56" s="463">
        <v>2459.703</v>
      </c>
      <c r="R56" s="695">
        <v>2657.8771040000001</v>
      </c>
      <c r="S56" s="451">
        <f t="shared" si="35"/>
        <v>198.17410400000017</v>
      </c>
      <c r="T56" s="221">
        <f t="shared" si="46"/>
        <v>8.0568306010929028E-2</v>
      </c>
      <c r="U56" s="256"/>
      <c r="V56" s="705">
        <f t="shared" si="39"/>
        <v>13938.317000000001</v>
      </c>
      <c r="W56" s="451">
        <f t="shared" si="40"/>
        <v>14229.502824000003</v>
      </c>
      <c r="X56" s="451">
        <f t="shared" si="41"/>
        <v>291.18582400000196</v>
      </c>
      <c r="Y56" s="220">
        <f t="shared" si="42"/>
        <v>2.0891031822565232E-2</v>
      </c>
      <c r="Z56" s="256"/>
      <c r="AA56" s="450">
        <v>13938.317000000001</v>
      </c>
      <c r="AB56" s="642">
        <f t="shared" ref="AB56:AB75" si="48">AA56-W56</f>
        <v>-291.18582400000196</v>
      </c>
      <c r="AC56" s="220">
        <f t="shared" si="47"/>
        <v>-2.0891031822565232E-2</v>
      </c>
      <c r="AD56" s="256"/>
      <c r="AE56" s="1121"/>
    </row>
    <row r="57" spans="1:31" ht="26.25" customHeight="1" x14ac:dyDescent="0.3">
      <c r="A57" s="190" t="s">
        <v>92</v>
      </c>
      <c r="B57" s="453">
        <v>1209.69</v>
      </c>
      <c r="C57" s="453">
        <v>993.74689400000011</v>
      </c>
      <c r="D57" s="451">
        <f t="shared" si="29"/>
        <v>-215.94310599999994</v>
      </c>
      <c r="E57" s="294">
        <f t="shared" si="43"/>
        <v>-0.17851111111111106</v>
      </c>
      <c r="F57" s="256"/>
      <c r="G57" s="680">
        <v>4032.3</v>
      </c>
      <c r="H57" s="681">
        <v>1695.2058020000002</v>
      </c>
      <c r="I57" s="451">
        <f t="shared" si="31"/>
        <v>-2337.0941979999998</v>
      </c>
      <c r="J57" s="223">
        <f t="shared" si="44"/>
        <v>-0.57959333333333329</v>
      </c>
      <c r="K57" s="256"/>
      <c r="L57" s="680">
        <v>142513.57889999999</v>
      </c>
      <c r="M57" s="431">
        <v>139719.19500000001</v>
      </c>
      <c r="N57" s="451">
        <f t="shared" si="33"/>
        <v>-2794.3838999999862</v>
      </c>
      <c r="O57" s="294">
        <f t="shared" si="45"/>
        <v>-1.9607843137254805E-2</v>
      </c>
      <c r="P57" s="256"/>
      <c r="Q57" s="622">
        <v>0</v>
      </c>
      <c r="R57" s="695">
        <v>514.870946</v>
      </c>
      <c r="S57" s="451">
        <f t="shared" si="35"/>
        <v>514.870946</v>
      </c>
      <c r="T57" s="295" t="str">
        <f t="shared" si="46"/>
        <v>-</v>
      </c>
      <c r="U57" s="256"/>
      <c r="V57" s="705">
        <f t="shared" si="39"/>
        <v>147755.56889999998</v>
      </c>
      <c r="W57" s="451">
        <f t="shared" si="40"/>
        <v>142923.01864200001</v>
      </c>
      <c r="X57" s="451">
        <f t="shared" si="41"/>
        <v>-4832.5502579999738</v>
      </c>
      <c r="Y57" s="220">
        <f t="shared" si="42"/>
        <v>-3.270638321098146E-2</v>
      </c>
      <c r="Z57" s="256"/>
      <c r="AA57" s="450">
        <v>147755.56889999998</v>
      </c>
      <c r="AB57" s="642">
        <f t="shared" si="48"/>
        <v>4832.5502579999738</v>
      </c>
      <c r="AC57" s="220">
        <f t="shared" si="47"/>
        <v>3.270638321098146E-2</v>
      </c>
      <c r="AD57" s="256"/>
      <c r="AE57" s="1119"/>
    </row>
    <row r="58" spans="1:31" x14ac:dyDescent="0.3">
      <c r="A58" s="190" t="s">
        <v>93</v>
      </c>
      <c r="B58" s="453">
        <v>44747.782600000006</v>
      </c>
      <c r="C58" s="453">
        <v>12688.841640000002</v>
      </c>
      <c r="D58" s="451">
        <f t="shared" si="29"/>
        <v>-32058.940960000004</v>
      </c>
      <c r="E58" s="220">
        <f t="shared" si="43"/>
        <v>-0.71643641533200797</v>
      </c>
      <c r="F58" s="256"/>
      <c r="G58" s="622">
        <v>31328.282800000004</v>
      </c>
      <c r="H58" s="677">
        <v>21224.871274000001</v>
      </c>
      <c r="I58" s="451">
        <f t="shared" si="31"/>
        <v>-10103.411526000004</v>
      </c>
      <c r="J58" s="221">
        <f t="shared" si="44"/>
        <v>-0.32250128711172138</v>
      </c>
      <c r="K58" s="256"/>
      <c r="L58" s="622">
        <v>32949.267399999997</v>
      </c>
      <c r="M58" s="689">
        <v>17733.974754000003</v>
      </c>
      <c r="N58" s="451">
        <f t="shared" si="33"/>
        <v>-15215.292645999994</v>
      </c>
      <c r="O58" s="220">
        <f t="shared" si="45"/>
        <v>-0.46177939136819762</v>
      </c>
      <c r="P58" s="256"/>
      <c r="Q58" s="622">
        <v>29978.806400000001</v>
      </c>
      <c r="R58" s="695">
        <v>33447.175803999999</v>
      </c>
      <c r="S58" s="451">
        <f t="shared" si="35"/>
        <v>3468.3694039999973</v>
      </c>
      <c r="T58" s="221">
        <f t="shared" si="46"/>
        <v>0.11569404591104725</v>
      </c>
      <c r="U58" s="256"/>
      <c r="V58" s="705">
        <f t="shared" si="39"/>
        <v>139004.13920000001</v>
      </c>
      <c r="W58" s="451">
        <f t="shared" si="40"/>
        <v>85094.863471999997</v>
      </c>
      <c r="X58" s="451">
        <f t="shared" si="41"/>
        <v>-53909.275728000008</v>
      </c>
      <c r="Y58" s="220">
        <f t="shared" si="42"/>
        <v>-0.38782496721507703</v>
      </c>
      <c r="Z58" s="256"/>
      <c r="AA58" s="450">
        <v>139004.13379999998</v>
      </c>
      <c r="AB58" s="642">
        <f t="shared" si="48"/>
        <v>53909.270327999984</v>
      </c>
      <c r="AC58" s="220">
        <f t="shared" si="47"/>
        <v>0.38782494343344481</v>
      </c>
      <c r="AD58" s="256"/>
      <c r="AE58" s="1122" t="s">
        <v>211</v>
      </c>
    </row>
    <row r="59" spans="1:31" x14ac:dyDescent="0.3">
      <c r="A59" s="190" t="s">
        <v>94</v>
      </c>
      <c r="B59" s="453">
        <v>450.00467999999995</v>
      </c>
      <c r="C59" s="453">
        <v>450.00467999999995</v>
      </c>
      <c r="D59" s="451">
        <f t="shared" si="29"/>
        <v>0</v>
      </c>
      <c r="E59" s="220">
        <f t="shared" si="43"/>
        <v>0</v>
      </c>
      <c r="F59" s="256"/>
      <c r="G59" s="463">
        <v>450.00467999999995</v>
      </c>
      <c r="H59" s="464">
        <v>450.00467999999995</v>
      </c>
      <c r="I59" s="451">
        <f t="shared" si="31"/>
        <v>0</v>
      </c>
      <c r="J59" s="221">
        <f t="shared" si="44"/>
        <v>0</v>
      </c>
      <c r="K59" s="256"/>
      <c r="L59" s="463">
        <v>450.00467999999995</v>
      </c>
      <c r="M59" s="695">
        <v>450.00467999999995</v>
      </c>
      <c r="N59" s="451">
        <f t="shared" si="33"/>
        <v>0</v>
      </c>
      <c r="O59" s="220">
        <f t="shared" si="45"/>
        <v>0</v>
      </c>
      <c r="P59" s="256"/>
      <c r="Q59" s="463">
        <v>450.00467999999995</v>
      </c>
      <c r="R59" s="695">
        <v>150.00156000000001</v>
      </c>
      <c r="S59" s="451">
        <f t="shared" si="35"/>
        <v>-300.00311999999997</v>
      </c>
      <c r="T59" s="221">
        <f t="shared" si="46"/>
        <v>-0.66666666666666663</v>
      </c>
      <c r="U59" s="256"/>
      <c r="V59" s="705">
        <f t="shared" si="39"/>
        <v>1800.0187199999998</v>
      </c>
      <c r="W59" s="451">
        <f t="shared" si="40"/>
        <v>1500.0155999999997</v>
      </c>
      <c r="X59" s="451">
        <f t="shared" si="41"/>
        <v>-300.00312000000008</v>
      </c>
      <c r="Y59" s="220">
        <f t="shared" si="42"/>
        <v>-0.16666666666666674</v>
      </c>
      <c r="Z59" s="256"/>
      <c r="AA59" s="450">
        <v>1800.0187200000003</v>
      </c>
      <c r="AB59" s="642">
        <f t="shared" si="48"/>
        <v>300.00312000000054</v>
      </c>
      <c r="AC59" s="220">
        <f t="shared" si="47"/>
        <v>0.16666666666666693</v>
      </c>
      <c r="AD59" s="256"/>
      <c r="AE59" s="523"/>
    </row>
    <row r="60" spans="1:31" ht="45" x14ac:dyDescent="0.3">
      <c r="A60" s="190" t="s">
        <v>95</v>
      </c>
      <c r="B60" s="453">
        <v>403.23</v>
      </c>
      <c r="C60" s="453">
        <v>0</v>
      </c>
      <c r="D60" s="451">
        <f t="shared" si="29"/>
        <v>-403.23</v>
      </c>
      <c r="E60" s="220">
        <f t="shared" si="43"/>
        <v>-1</v>
      </c>
      <c r="F60" s="191"/>
      <c r="G60" s="463">
        <v>403.23</v>
      </c>
      <c r="H60" s="464">
        <v>0</v>
      </c>
      <c r="I60" s="451">
        <f t="shared" si="31"/>
        <v>-403.23</v>
      </c>
      <c r="J60" s="221">
        <f t="shared" si="44"/>
        <v>-1</v>
      </c>
      <c r="K60" s="191"/>
      <c r="L60" s="463">
        <v>940.87</v>
      </c>
      <c r="M60" s="695">
        <v>547.45193000000006</v>
      </c>
      <c r="N60" s="451">
        <f t="shared" si="33"/>
        <v>-393.41806999999994</v>
      </c>
      <c r="O60" s="220">
        <f t="shared" si="45"/>
        <v>-0.41814285714285709</v>
      </c>
      <c r="P60" s="191"/>
      <c r="Q60" s="463">
        <v>9274.2900000000009</v>
      </c>
      <c r="R60" s="695">
        <v>412.90752000000003</v>
      </c>
      <c r="S60" s="451">
        <f t="shared" si="35"/>
        <v>-8861.3824800000002</v>
      </c>
      <c r="T60" s="221">
        <f t="shared" si="46"/>
        <v>-0.95547826086956511</v>
      </c>
      <c r="U60" s="191"/>
      <c r="V60" s="705">
        <f t="shared" si="39"/>
        <v>11021.62</v>
      </c>
      <c r="W60" s="451">
        <f t="shared" si="40"/>
        <v>960.35945000000015</v>
      </c>
      <c r="X60" s="451">
        <f t="shared" si="41"/>
        <v>-10061.260550000001</v>
      </c>
      <c r="Y60" s="220">
        <f t="shared" si="42"/>
        <v>-0.91286585365853656</v>
      </c>
      <c r="Z60" s="191"/>
      <c r="AA60" s="450">
        <v>11021.62</v>
      </c>
      <c r="AB60" s="642">
        <f t="shared" si="48"/>
        <v>10061.260550000001</v>
      </c>
      <c r="AC60" s="220">
        <f t="shared" si="47"/>
        <v>0.91286585365853656</v>
      </c>
      <c r="AD60" s="191"/>
      <c r="AE60" s="1122" t="s">
        <v>212</v>
      </c>
    </row>
    <row r="61" spans="1:31" x14ac:dyDescent="0.3">
      <c r="A61" s="190" t="s">
        <v>96</v>
      </c>
      <c r="B61" s="453">
        <v>1344.1000000000001</v>
      </c>
      <c r="C61" s="453">
        <v>650.5444</v>
      </c>
      <c r="D61" s="451">
        <f t="shared" si="29"/>
        <v>-693.55560000000014</v>
      </c>
      <c r="E61" s="220">
        <f t="shared" si="43"/>
        <v>-0.51600000000000001</v>
      </c>
      <c r="F61" s="191"/>
      <c r="G61" s="622">
        <v>12096.900000000001</v>
      </c>
      <c r="H61" s="677">
        <v>13262.987396</v>
      </c>
      <c r="I61" s="451">
        <f t="shared" si="31"/>
        <v>1166.087395999999</v>
      </c>
      <c r="J61" s="221">
        <f t="shared" si="44"/>
        <v>9.6395555555555457E-2</v>
      </c>
      <c r="K61" s="191"/>
      <c r="L61" s="622">
        <v>7795.7800000000007</v>
      </c>
      <c r="M61" s="689">
        <v>7282.6295020000007</v>
      </c>
      <c r="N61" s="451">
        <f t="shared" si="33"/>
        <v>-513.15049799999997</v>
      </c>
      <c r="O61" s="220">
        <f t="shared" si="45"/>
        <v>-6.5824137931034477E-2</v>
      </c>
      <c r="P61" s="191"/>
      <c r="Q61" s="622">
        <v>5645.22</v>
      </c>
      <c r="R61" s="689">
        <v>7827.6351700000005</v>
      </c>
      <c r="S61" s="451">
        <f t="shared" si="35"/>
        <v>2182.4151700000002</v>
      </c>
      <c r="T61" s="221">
        <f t="shared" si="46"/>
        <v>0.3865952380952381</v>
      </c>
      <c r="U61" s="191"/>
      <c r="V61" s="705">
        <f t="shared" si="39"/>
        <v>26882.000000000004</v>
      </c>
      <c r="W61" s="451">
        <f t="shared" si="40"/>
        <v>29023.796468000004</v>
      </c>
      <c r="X61" s="451">
        <f t="shared" si="41"/>
        <v>2141.7964680000005</v>
      </c>
      <c r="Y61" s="220">
        <f t="shared" si="42"/>
        <v>7.9674000000000009E-2</v>
      </c>
      <c r="Z61" s="191"/>
      <c r="AA61" s="450">
        <v>26882</v>
      </c>
      <c r="AB61" s="642">
        <f t="shared" si="48"/>
        <v>-2141.7964680000041</v>
      </c>
      <c r="AC61" s="220">
        <f t="shared" si="47"/>
        <v>-7.9674000000000147E-2</v>
      </c>
      <c r="AD61" s="191"/>
      <c r="AE61" s="1100"/>
    </row>
    <row r="62" spans="1:31" ht="30" x14ac:dyDescent="0.3">
      <c r="A62" s="190" t="s">
        <v>110</v>
      </c>
      <c r="B62" s="453">
        <v>1747.3300000000002</v>
      </c>
      <c r="C62" s="453">
        <v>1776.1743860000001</v>
      </c>
      <c r="D62" s="451">
        <f t="shared" si="29"/>
        <v>28.844385999999986</v>
      </c>
      <c r="E62" s="220">
        <f t="shared" si="43"/>
        <v>1.65076923076923E-2</v>
      </c>
      <c r="F62" s="191"/>
      <c r="G62" s="463">
        <v>725.81400000000008</v>
      </c>
      <c r="H62" s="464">
        <v>653.66271200000006</v>
      </c>
      <c r="I62" s="451">
        <f t="shared" si="31"/>
        <v>-72.151288000000022</v>
      </c>
      <c r="J62" s="221">
        <f t="shared" si="44"/>
        <v>-9.940740740740743E-2</v>
      </c>
      <c r="K62" s="191"/>
      <c r="L62" s="463">
        <v>6397.9160000000011</v>
      </c>
      <c r="M62" s="695">
        <v>6930.7978860000003</v>
      </c>
      <c r="N62" s="451">
        <f t="shared" si="33"/>
        <v>532.88188599999921</v>
      </c>
      <c r="O62" s="220">
        <f t="shared" si="45"/>
        <v>8.3289915966386421E-2</v>
      </c>
      <c r="P62" s="191"/>
      <c r="Q62" s="463">
        <v>9408.7000000000007</v>
      </c>
      <c r="R62" s="703">
        <v>-840.35820200000126</v>
      </c>
      <c r="S62" s="451">
        <f t="shared" si="35"/>
        <v>-10249.058202000002</v>
      </c>
      <c r="T62" s="221">
        <f t="shared" si="46"/>
        <v>-1.0893171428571431</v>
      </c>
      <c r="U62" s="191"/>
      <c r="V62" s="705">
        <f t="shared" si="39"/>
        <v>18279.760000000002</v>
      </c>
      <c r="W62" s="451">
        <f t="shared" si="40"/>
        <v>8520.276781999999</v>
      </c>
      <c r="X62" s="451">
        <f t="shared" si="41"/>
        <v>-9759.483218000003</v>
      </c>
      <c r="Y62" s="220">
        <f t="shared" si="42"/>
        <v>-0.53389558823529426</v>
      </c>
      <c r="Z62" s="191"/>
      <c r="AA62" s="450">
        <v>18279.759999999998</v>
      </c>
      <c r="AB62" s="642">
        <f t="shared" si="48"/>
        <v>9759.4832179999994</v>
      </c>
      <c r="AC62" s="220">
        <f t="shared" si="47"/>
        <v>0.53389558823529415</v>
      </c>
      <c r="AD62" s="191"/>
      <c r="AE62" s="1120" t="s">
        <v>213</v>
      </c>
    </row>
    <row r="63" spans="1:31" x14ac:dyDescent="0.3">
      <c r="A63" s="190" t="s">
        <v>124</v>
      </c>
      <c r="B63" s="453">
        <v>7258.14</v>
      </c>
      <c r="C63" s="453">
        <v>7773.6829959999995</v>
      </c>
      <c r="D63" s="451">
        <f t="shared" si="29"/>
        <v>515.54299599999922</v>
      </c>
      <c r="E63" s="220">
        <f t="shared" si="43"/>
        <v>7.1029629629629526E-2</v>
      </c>
      <c r="F63" s="191"/>
      <c r="G63" s="463">
        <v>5645.22</v>
      </c>
      <c r="H63" s="464">
        <v>5065.7784900000006</v>
      </c>
      <c r="I63" s="451">
        <f t="shared" si="31"/>
        <v>-579.44150999999965</v>
      </c>
      <c r="J63" s="221">
        <f t="shared" si="44"/>
        <v>-0.10264285714285708</v>
      </c>
      <c r="K63" s="191"/>
      <c r="L63" s="463">
        <v>3225.84</v>
      </c>
      <c r="M63" s="695">
        <v>3610.1181899999997</v>
      </c>
      <c r="N63" s="451">
        <f t="shared" si="33"/>
        <v>384.27818999999954</v>
      </c>
      <c r="O63" s="220">
        <f t="shared" si="45"/>
        <v>0.11912499999999986</v>
      </c>
      <c r="P63" s="191"/>
      <c r="Q63" s="463">
        <v>15053.920000000002</v>
      </c>
      <c r="R63" s="703">
        <v>5321.4263099999998</v>
      </c>
      <c r="S63" s="451">
        <f t="shared" si="35"/>
        <v>-9732.493690000003</v>
      </c>
      <c r="T63" s="221">
        <f t="shared" si="46"/>
        <v>-0.64650892857142872</v>
      </c>
      <c r="U63" s="191"/>
      <c r="V63" s="705">
        <f t="shared" si="39"/>
        <v>31183.120000000003</v>
      </c>
      <c r="W63" s="451">
        <f t="shared" si="40"/>
        <v>21771.005986</v>
      </c>
      <c r="X63" s="451">
        <f t="shared" si="41"/>
        <v>-9412.1140140000025</v>
      </c>
      <c r="Y63" s="220">
        <f t="shared" si="42"/>
        <v>-0.30183362068965525</v>
      </c>
      <c r="Z63" s="191"/>
      <c r="AA63" s="450">
        <v>31183.120000000003</v>
      </c>
      <c r="AB63" s="642">
        <f t="shared" si="48"/>
        <v>9412.1140140000025</v>
      </c>
      <c r="AC63" s="220">
        <f t="shared" si="47"/>
        <v>0.30183362068965525</v>
      </c>
      <c r="AD63" s="191"/>
      <c r="AE63" s="523"/>
    </row>
    <row r="64" spans="1:31" x14ac:dyDescent="0.3">
      <c r="A64" s="190" t="s">
        <v>123</v>
      </c>
      <c r="B64" s="453">
        <v>0</v>
      </c>
      <c r="C64" s="453">
        <v>0</v>
      </c>
      <c r="D64" s="451">
        <f t="shared" si="29"/>
        <v>0</v>
      </c>
      <c r="E64" s="220" t="str">
        <f t="shared" si="43"/>
        <v>-</v>
      </c>
      <c r="F64" s="256"/>
      <c r="G64" s="622">
        <v>0</v>
      </c>
      <c r="H64" s="677">
        <v>0</v>
      </c>
      <c r="I64" s="451">
        <f t="shared" si="31"/>
        <v>0</v>
      </c>
      <c r="J64" s="221" t="str">
        <f t="shared" si="44"/>
        <v>-</v>
      </c>
      <c r="K64" s="256"/>
      <c r="L64" s="622">
        <v>0</v>
      </c>
      <c r="M64" s="689">
        <v>0</v>
      </c>
      <c r="N64" s="451">
        <f t="shared" si="33"/>
        <v>0</v>
      </c>
      <c r="O64" s="220" t="str">
        <f t="shared" si="45"/>
        <v>-</v>
      </c>
      <c r="P64" s="256"/>
      <c r="Q64" s="622">
        <v>0</v>
      </c>
      <c r="R64" s="704">
        <v>0</v>
      </c>
      <c r="S64" s="451">
        <f t="shared" si="35"/>
        <v>0</v>
      </c>
      <c r="T64" s="221" t="str">
        <f t="shared" si="46"/>
        <v>-</v>
      </c>
      <c r="U64" s="256"/>
      <c r="V64" s="705">
        <f t="shared" si="39"/>
        <v>0</v>
      </c>
      <c r="W64" s="451">
        <f t="shared" si="40"/>
        <v>0</v>
      </c>
      <c r="X64" s="451">
        <f t="shared" si="41"/>
        <v>0</v>
      </c>
      <c r="Y64" s="220" t="str">
        <f t="shared" si="42"/>
        <v>-</v>
      </c>
      <c r="Z64" s="256"/>
      <c r="AA64" s="450">
        <v>0</v>
      </c>
      <c r="AB64" s="642">
        <f t="shared" si="48"/>
        <v>0</v>
      </c>
      <c r="AC64" s="220" t="str">
        <f t="shared" si="47"/>
        <v>-</v>
      </c>
      <c r="AD64" s="256"/>
      <c r="AE64" s="523"/>
    </row>
    <row r="65" spans="1:31" x14ac:dyDescent="0.3">
      <c r="A65" s="190" t="s">
        <v>122</v>
      </c>
      <c r="B65" s="453">
        <v>6720.5</v>
      </c>
      <c r="C65" s="453">
        <v>6745.5002599999998</v>
      </c>
      <c r="D65" s="451">
        <f t="shared" si="29"/>
        <v>25.000259999999798</v>
      </c>
      <c r="E65" s="222">
        <f t="shared" si="43"/>
        <v>3.7199999999999699E-3</v>
      </c>
      <c r="F65" s="256"/>
      <c r="G65" s="463">
        <v>36290.699999999997</v>
      </c>
      <c r="H65" s="464">
        <v>36290.699999999997</v>
      </c>
      <c r="I65" s="451">
        <f t="shared" si="31"/>
        <v>0</v>
      </c>
      <c r="J65" s="223">
        <f t="shared" si="44"/>
        <v>0</v>
      </c>
      <c r="K65" s="256"/>
      <c r="L65" s="463">
        <v>26882</v>
      </c>
      <c r="M65" s="695">
        <v>26882</v>
      </c>
      <c r="N65" s="451">
        <f t="shared" si="33"/>
        <v>0</v>
      </c>
      <c r="O65" s="294">
        <f t="shared" si="45"/>
        <v>0</v>
      </c>
      <c r="P65" s="256"/>
      <c r="Q65" s="463">
        <v>262099.5</v>
      </c>
      <c r="R65" s="703">
        <v>8894.6623960000015</v>
      </c>
      <c r="S65" s="451">
        <f t="shared" si="35"/>
        <v>-253204.837604</v>
      </c>
      <c r="T65" s="221">
        <f t="shared" si="46"/>
        <v>-0.96606379487179483</v>
      </c>
      <c r="U65" s="256"/>
      <c r="V65" s="705">
        <f t="shared" si="39"/>
        <v>331992.7</v>
      </c>
      <c r="W65" s="451">
        <f t="shared" si="40"/>
        <v>78812.862655999998</v>
      </c>
      <c r="X65" s="451">
        <f t="shared" si="41"/>
        <v>-253179.837344</v>
      </c>
      <c r="Y65" s="220">
        <f t="shared" si="42"/>
        <v>-0.76260663967611331</v>
      </c>
      <c r="Z65" s="256"/>
      <c r="AA65" s="450">
        <v>331992.7</v>
      </c>
      <c r="AB65" s="642">
        <f t="shared" si="48"/>
        <v>253179.837344</v>
      </c>
      <c r="AC65" s="220">
        <f t="shared" si="47"/>
        <v>0.76260663967611331</v>
      </c>
      <c r="AD65" s="256"/>
      <c r="AE65" s="1119" t="s">
        <v>214</v>
      </c>
    </row>
    <row r="66" spans="1:31" x14ac:dyDescent="0.3">
      <c r="A66" s="190" t="s">
        <v>114</v>
      </c>
      <c r="B66" s="453">
        <v>0</v>
      </c>
      <c r="C66" s="453">
        <v>0</v>
      </c>
      <c r="D66" s="451">
        <f t="shared" si="29"/>
        <v>0</v>
      </c>
      <c r="E66" s="220" t="str">
        <f t="shared" si="43"/>
        <v>-</v>
      </c>
      <c r="F66" s="256"/>
      <c r="G66" s="463">
        <v>0</v>
      </c>
      <c r="H66" s="464">
        <v>0</v>
      </c>
      <c r="I66" s="451">
        <f t="shared" si="31"/>
        <v>0</v>
      </c>
      <c r="J66" s="221" t="str">
        <f t="shared" si="44"/>
        <v>-</v>
      </c>
      <c r="K66" s="256"/>
      <c r="L66" s="463">
        <v>0</v>
      </c>
      <c r="M66" s="695">
        <v>0</v>
      </c>
      <c r="N66" s="451">
        <f t="shared" si="33"/>
        <v>0</v>
      </c>
      <c r="O66" s="220" t="str">
        <f t="shared" si="45"/>
        <v>-</v>
      </c>
      <c r="P66" s="256"/>
      <c r="Q66" s="622">
        <v>0</v>
      </c>
      <c r="R66" s="704">
        <v>0</v>
      </c>
      <c r="S66" s="451">
        <f t="shared" si="35"/>
        <v>0</v>
      </c>
      <c r="T66" s="221" t="str">
        <f t="shared" si="46"/>
        <v>-</v>
      </c>
      <c r="U66" s="256"/>
      <c r="V66" s="705">
        <f t="shared" si="39"/>
        <v>0</v>
      </c>
      <c r="W66" s="451">
        <f t="shared" si="40"/>
        <v>0</v>
      </c>
      <c r="X66" s="451">
        <f t="shared" si="41"/>
        <v>0</v>
      </c>
      <c r="Y66" s="220" t="str">
        <f t="shared" si="42"/>
        <v>-</v>
      </c>
      <c r="Z66" s="256"/>
      <c r="AA66" s="450">
        <v>0</v>
      </c>
      <c r="AB66" s="642">
        <f t="shared" si="48"/>
        <v>0</v>
      </c>
      <c r="AC66" s="220" t="str">
        <f t="shared" si="47"/>
        <v>-</v>
      </c>
      <c r="AD66" s="256"/>
      <c r="AE66" s="523"/>
    </row>
    <row r="67" spans="1:31" x14ac:dyDescent="0.3">
      <c r="A67" s="190" t="s">
        <v>115</v>
      </c>
      <c r="B67" s="453">
        <v>39933.345410000002</v>
      </c>
      <c r="C67" s="453">
        <v>39933.345410000002</v>
      </c>
      <c r="D67" s="451">
        <f t="shared" si="29"/>
        <v>0</v>
      </c>
      <c r="E67" s="294">
        <f t="shared" si="43"/>
        <v>0</v>
      </c>
      <c r="F67" s="191"/>
      <c r="G67" s="463">
        <v>44250.675256000002</v>
      </c>
      <c r="H67" s="464">
        <v>44250.675256000002</v>
      </c>
      <c r="I67" s="451">
        <f t="shared" si="31"/>
        <v>0</v>
      </c>
      <c r="J67" s="223">
        <f t="shared" si="44"/>
        <v>0</v>
      </c>
      <c r="K67" s="191"/>
      <c r="L67" s="463">
        <v>43764.272348000006</v>
      </c>
      <c r="M67" s="695">
        <v>43764.299230000004</v>
      </c>
      <c r="N67" s="451">
        <f t="shared" si="33"/>
        <v>2.6881999998295214E-2</v>
      </c>
      <c r="O67" s="294">
        <f t="shared" si="45"/>
        <v>6.142453320036452E-7</v>
      </c>
      <c r="P67" s="191"/>
      <c r="Q67" s="463">
        <v>48067.059032000005</v>
      </c>
      <c r="R67" s="703">
        <v>48067.059032000005</v>
      </c>
      <c r="S67" s="451">
        <f t="shared" si="35"/>
        <v>0</v>
      </c>
      <c r="T67" s="221">
        <f t="shared" si="46"/>
        <v>0</v>
      </c>
      <c r="U67" s="191"/>
      <c r="V67" s="705">
        <f t="shared" si="39"/>
        <v>176015.35204600001</v>
      </c>
      <c r="W67" s="451">
        <f t="shared" si="40"/>
        <v>176015.37892799999</v>
      </c>
      <c r="X67" s="451">
        <f t="shared" si="41"/>
        <v>2.6881999976467341E-2</v>
      </c>
      <c r="Y67" s="220">
        <f t="shared" si="42"/>
        <v>1.5272531437736166E-7</v>
      </c>
      <c r="Z67" s="191"/>
      <c r="AA67" s="450">
        <v>176015.35204600001</v>
      </c>
      <c r="AB67" s="642">
        <f t="shared" si="48"/>
        <v>-2.6881999976467341E-2</v>
      </c>
      <c r="AC67" s="220">
        <f t="shared" si="47"/>
        <v>-1.5272531437736166E-7</v>
      </c>
      <c r="AD67" s="191"/>
      <c r="AE67" s="549"/>
    </row>
    <row r="68" spans="1:31" x14ac:dyDescent="0.3">
      <c r="A68" s="190" t="s">
        <v>121</v>
      </c>
      <c r="B68" s="453">
        <v>0</v>
      </c>
      <c r="C68" s="453">
        <v>0</v>
      </c>
      <c r="D68" s="451">
        <f t="shared" si="29"/>
        <v>0</v>
      </c>
      <c r="E68" s="294" t="str">
        <f t="shared" si="43"/>
        <v>-</v>
      </c>
      <c r="F68" s="256"/>
      <c r="G68" s="622">
        <v>0</v>
      </c>
      <c r="H68" s="677">
        <v>0</v>
      </c>
      <c r="I68" s="451">
        <f t="shared" si="31"/>
        <v>0</v>
      </c>
      <c r="J68" s="295" t="str">
        <f t="shared" si="44"/>
        <v>-</v>
      </c>
      <c r="K68" s="256"/>
      <c r="L68" s="622">
        <v>0</v>
      </c>
      <c r="M68" s="689">
        <v>0</v>
      </c>
      <c r="N68" s="451">
        <f t="shared" si="33"/>
        <v>0</v>
      </c>
      <c r="O68" s="294" t="str">
        <f t="shared" si="45"/>
        <v>-</v>
      </c>
      <c r="P68" s="256"/>
      <c r="Q68" s="622">
        <v>0</v>
      </c>
      <c r="R68" s="689">
        <v>0</v>
      </c>
      <c r="S68" s="451">
        <f t="shared" si="35"/>
        <v>0</v>
      </c>
      <c r="T68" s="295" t="str">
        <f t="shared" si="46"/>
        <v>-</v>
      </c>
      <c r="U68" s="256"/>
      <c r="V68" s="705">
        <f>B68+G68+L68+Q68</f>
        <v>0</v>
      </c>
      <c r="W68" s="451">
        <f t="shared" si="40"/>
        <v>0</v>
      </c>
      <c r="X68" s="451">
        <f t="shared" si="41"/>
        <v>0</v>
      </c>
      <c r="Y68" s="220" t="str">
        <f t="shared" si="42"/>
        <v>-</v>
      </c>
      <c r="Z68" s="256"/>
      <c r="AA68" s="450">
        <v>0</v>
      </c>
      <c r="AB68" s="642">
        <f t="shared" si="48"/>
        <v>0</v>
      </c>
      <c r="AC68" s="294" t="str">
        <f t="shared" si="47"/>
        <v>-</v>
      </c>
      <c r="AD68" s="256"/>
      <c r="AE68" s="549"/>
    </row>
    <row r="69" spans="1:31" x14ac:dyDescent="0.3">
      <c r="A69" s="190" t="s">
        <v>97</v>
      </c>
      <c r="B69" s="453">
        <v>79167.812583999999</v>
      </c>
      <c r="C69" s="453">
        <v>71373.672386000006</v>
      </c>
      <c r="D69" s="451">
        <f t="shared" si="29"/>
        <v>-7794.1401979999937</v>
      </c>
      <c r="E69" s="220">
        <f t="shared" si="43"/>
        <v>-9.8450872186598815E-2</v>
      </c>
      <c r="F69" s="256"/>
      <c r="G69" s="463">
        <v>16693.560708000001</v>
      </c>
      <c r="H69" s="464">
        <v>3252.5607080000004</v>
      </c>
      <c r="I69" s="451">
        <f t="shared" si="31"/>
        <v>-13441</v>
      </c>
      <c r="J69" s="221">
        <f t="shared" si="44"/>
        <v>-0.8051607583970215</v>
      </c>
      <c r="K69" s="256"/>
      <c r="L69" s="463">
        <v>7585.9391080000005</v>
      </c>
      <c r="M69" s="695">
        <v>7553.6807079999999</v>
      </c>
      <c r="N69" s="451">
        <f t="shared" si="33"/>
        <v>-32.25840000000062</v>
      </c>
      <c r="O69" s="220">
        <f t="shared" si="45"/>
        <v>-4.2523937433114204E-3</v>
      </c>
      <c r="P69" s="256"/>
      <c r="Q69" s="463">
        <v>3612.4569240000005</v>
      </c>
      <c r="R69" s="695">
        <v>3612.4569240000005</v>
      </c>
      <c r="S69" s="451">
        <f t="shared" si="35"/>
        <v>0</v>
      </c>
      <c r="T69" s="221">
        <f t="shared" si="46"/>
        <v>0</v>
      </c>
      <c r="U69" s="256"/>
      <c r="V69" s="705">
        <f t="shared" si="39"/>
        <v>107059.76932400001</v>
      </c>
      <c r="W69" s="451">
        <f t="shared" si="40"/>
        <v>85792.370726000008</v>
      </c>
      <c r="X69" s="451">
        <f t="shared" si="41"/>
        <v>-21267.398598</v>
      </c>
      <c r="Y69" s="220">
        <f t="shared" si="42"/>
        <v>-0.19864977042531703</v>
      </c>
      <c r="Z69" s="256"/>
      <c r="AA69" s="450">
        <v>107059.76932400001</v>
      </c>
      <c r="AB69" s="642">
        <f t="shared" si="48"/>
        <v>21267.398598</v>
      </c>
      <c r="AC69" s="220">
        <f t="shared" si="47"/>
        <v>0.19864977042531703</v>
      </c>
      <c r="AD69" s="256"/>
      <c r="AE69" s="1120"/>
    </row>
    <row r="70" spans="1:31" s="571" customFormat="1" x14ac:dyDescent="0.3">
      <c r="A70" s="567" t="s">
        <v>98</v>
      </c>
      <c r="B70" s="453">
        <v>0</v>
      </c>
      <c r="C70" s="453">
        <v>0</v>
      </c>
      <c r="D70" s="451">
        <f t="shared" si="29"/>
        <v>0</v>
      </c>
      <c r="E70" s="568" t="str">
        <f t="shared" si="43"/>
        <v>-</v>
      </c>
      <c r="F70" s="569"/>
      <c r="G70" s="622">
        <v>0</v>
      </c>
      <c r="H70" s="677">
        <v>0</v>
      </c>
      <c r="I70" s="451">
        <f t="shared" si="31"/>
        <v>0</v>
      </c>
      <c r="J70" s="570" t="str">
        <f t="shared" si="44"/>
        <v>-</v>
      </c>
      <c r="K70" s="569"/>
      <c r="L70" s="622">
        <v>0</v>
      </c>
      <c r="M70" s="689">
        <v>0</v>
      </c>
      <c r="N70" s="451">
        <f t="shared" si="33"/>
        <v>0</v>
      </c>
      <c r="O70" s="568" t="str">
        <f t="shared" si="45"/>
        <v>-</v>
      </c>
      <c r="P70" s="569"/>
      <c r="Q70" s="622">
        <v>0</v>
      </c>
      <c r="R70" s="689">
        <v>0</v>
      </c>
      <c r="S70" s="451">
        <f t="shared" si="35"/>
        <v>0</v>
      </c>
      <c r="T70" s="570" t="str">
        <f t="shared" si="46"/>
        <v>-</v>
      </c>
      <c r="U70" s="569"/>
      <c r="V70" s="705">
        <f t="shared" si="39"/>
        <v>0</v>
      </c>
      <c r="W70" s="451">
        <f t="shared" si="40"/>
        <v>0</v>
      </c>
      <c r="X70" s="451">
        <f t="shared" si="41"/>
        <v>0</v>
      </c>
      <c r="Y70" s="220" t="str">
        <f t="shared" si="42"/>
        <v>-</v>
      </c>
      <c r="Z70" s="569"/>
      <c r="AA70" s="450">
        <v>0</v>
      </c>
      <c r="AB70" s="675">
        <f t="shared" si="48"/>
        <v>0</v>
      </c>
      <c r="AC70" s="568" t="str">
        <f t="shared" si="47"/>
        <v>-</v>
      </c>
      <c r="AD70" s="569"/>
      <c r="AE70" s="1057"/>
    </row>
    <row r="71" spans="1:31" s="571" customFormat="1" x14ac:dyDescent="0.3">
      <c r="A71" s="567" t="s">
        <v>116</v>
      </c>
      <c r="B71" s="453">
        <v>0</v>
      </c>
      <c r="C71" s="453">
        <v>0</v>
      </c>
      <c r="D71" s="451">
        <f t="shared" si="29"/>
        <v>0</v>
      </c>
      <c r="E71" s="568" t="str">
        <f t="shared" si="43"/>
        <v>-</v>
      </c>
      <c r="F71" s="572"/>
      <c r="G71" s="622">
        <v>0</v>
      </c>
      <c r="H71" s="677">
        <v>0</v>
      </c>
      <c r="I71" s="451">
        <f t="shared" si="31"/>
        <v>0</v>
      </c>
      <c r="J71" s="570" t="str">
        <f t="shared" si="44"/>
        <v>-</v>
      </c>
      <c r="K71" s="572"/>
      <c r="L71" s="622">
        <v>0</v>
      </c>
      <c r="M71" s="689">
        <v>0</v>
      </c>
      <c r="N71" s="451">
        <f t="shared" si="33"/>
        <v>0</v>
      </c>
      <c r="O71" s="568" t="str">
        <f t="shared" si="45"/>
        <v>-</v>
      </c>
      <c r="P71" s="572"/>
      <c r="Q71" s="622">
        <v>0</v>
      </c>
      <c r="R71" s="689">
        <v>0</v>
      </c>
      <c r="S71" s="451">
        <f t="shared" si="35"/>
        <v>0</v>
      </c>
      <c r="T71" s="570" t="str">
        <f t="shared" si="46"/>
        <v>-</v>
      </c>
      <c r="U71" s="572"/>
      <c r="V71" s="705">
        <f t="shared" si="39"/>
        <v>0</v>
      </c>
      <c r="W71" s="451">
        <f t="shared" si="40"/>
        <v>0</v>
      </c>
      <c r="X71" s="451">
        <f t="shared" si="41"/>
        <v>0</v>
      </c>
      <c r="Y71" s="220" t="str">
        <f t="shared" si="42"/>
        <v>-</v>
      </c>
      <c r="Z71" s="572"/>
      <c r="AA71" s="450">
        <v>0</v>
      </c>
      <c r="AB71" s="675">
        <f t="shared" si="48"/>
        <v>0</v>
      </c>
      <c r="AC71" s="568" t="str">
        <f t="shared" si="47"/>
        <v>-</v>
      </c>
      <c r="AD71" s="572"/>
      <c r="AE71" s="1057"/>
    </row>
    <row r="72" spans="1:31" ht="30" x14ac:dyDescent="0.3">
      <c r="A72" s="190" t="s">
        <v>99</v>
      </c>
      <c r="B72" s="453">
        <v>17876.53</v>
      </c>
      <c r="C72" s="453">
        <v>268.82</v>
      </c>
      <c r="D72" s="451">
        <f t="shared" si="29"/>
        <v>-17607.71</v>
      </c>
      <c r="E72" s="220">
        <f t="shared" si="43"/>
        <v>-0.98496240601503759</v>
      </c>
      <c r="F72" s="191"/>
      <c r="G72" s="463">
        <v>15061.984600000002</v>
      </c>
      <c r="H72" s="464">
        <v>0</v>
      </c>
      <c r="I72" s="451">
        <f t="shared" si="31"/>
        <v>-15061.984600000002</v>
      </c>
      <c r="J72" s="221">
        <f t="shared" si="44"/>
        <v>-1</v>
      </c>
      <c r="K72" s="191"/>
      <c r="L72" s="463">
        <v>7545.7773999999999</v>
      </c>
      <c r="M72" s="695">
        <v>16860.578573999999</v>
      </c>
      <c r="N72" s="451">
        <f t="shared" si="33"/>
        <v>9314.8011740000002</v>
      </c>
      <c r="O72" s="220">
        <f t="shared" si="45"/>
        <v>1.2344389027431422</v>
      </c>
      <c r="P72" s="191"/>
      <c r="Q72" s="463">
        <v>21283.984792000003</v>
      </c>
      <c r="R72" s="695">
        <v>4618.3276000000005</v>
      </c>
      <c r="S72" s="451">
        <f t="shared" si="35"/>
        <v>-16665.657192000002</v>
      </c>
      <c r="T72" s="221">
        <f t="shared" si="46"/>
        <v>-0.78301395884590708</v>
      </c>
      <c r="U72" s="191"/>
      <c r="V72" s="705">
        <f t="shared" si="39"/>
        <v>61768.276792000004</v>
      </c>
      <c r="W72" s="451">
        <f t="shared" si="40"/>
        <v>21747.726173999999</v>
      </c>
      <c r="X72" s="451">
        <f t="shared" si="41"/>
        <v>-40020.550618000008</v>
      </c>
      <c r="Y72" s="220">
        <f t="shared" si="42"/>
        <v>-0.64791431292095425</v>
      </c>
      <c r="Z72" s="191"/>
      <c r="AA72" s="450">
        <v>61768.276792000004</v>
      </c>
      <c r="AB72" s="642">
        <f t="shared" si="48"/>
        <v>40020.550618000008</v>
      </c>
      <c r="AC72" s="220">
        <f t="shared" si="47"/>
        <v>0.64791431292095425</v>
      </c>
      <c r="AD72" s="191"/>
      <c r="AE72" s="1122" t="s">
        <v>200</v>
      </c>
    </row>
    <row r="73" spans="1:31" x14ac:dyDescent="0.3">
      <c r="A73" s="190" t="s">
        <v>100</v>
      </c>
      <c r="B73" s="453">
        <v>0</v>
      </c>
      <c r="C73" s="453">
        <v>0</v>
      </c>
      <c r="D73" s="451">
        <f t="shared" si="29"/>
        <v>0</v>
      </c>
      <c r="E73" s="220" t="str">
        <f t="shared" si="43"/>
        <v>-</v>
      </c>
      <c r="F73" s="256"/>
      <c r="G73" s="622">
        <v>0</v>
      </c>
      <c r="H73" s="677">
        <v>0</v>
      </c>
      <c r="I73" s="451">
        <f t="shared" si="31"/>
        <v>0</v>
      </c>
      <c r="J73" s="221" t="str">
        <f t="shared" si="44"/>
        <v>-</v>
      </c>
      <c r="K73" s="256"/>
      <c r="L73" s="622">
        <v>0</v>
      </c>
      <c r="M73" s="689">
        <v>0</v>
      </c>
      <c r="N73" s="451">
        <f t="shared" si="33"/>
        <v>0</v>
      </c>
      <c r="O73" s="220"/>
      <c r="P73" s="256"/>
      <c r="Q73" s="622">
        <v>0</v>
      </c>
      <c r="R73" s="689">
        <v>0</v>
      </c>
      <c r="S73" s="451">
        <f t="shared" si="35"/>
        <v>0</v>
      </c>
      <c r="T73" s="221"/>
      <c r="U73" s="256"/>
      <c r="V73" s="705">
        <f t="shared" si="39"/>
        <v>0</v>
      </c>
      <c r="W73" s="451">
        <f t="shared" si="40"/>
        <v>0</v>
      </c>
      <c r="X73" s="451">
        <f t="shared" si="41"/>
        <v>0</v>
      </c>
      <c r="Y73" s="220" t="str">
        <f t="shared" si="42"/>
        <v>-</v>
      </c>
      <c r="Z73" s="256"/>
      <c r="AA73" s="450">
        <v>0</v>
      </c>
      <c r="AB73" s="642">
        <f t="shared" si="48"/>
        <v>0</v>
      </c>
      <c r="AC73" s="220" t="str">
        <f t="shared" si="47"/>
        <v>-</v>
      </c>
      <c r="AD73" s="256"/>
      <c r="AE73" s="549"/>
    </row>
    <row r="74" spans="1:31" x14ac:dyDescent="0.3">
      <c r="A74" s="275" t="s">
        <v>101</v>
      </c>
      <c r="B74" s="453">
        <v>14516.28</v>
      </c>
      <c r="C74" s="453">
        <v>13236.750564000002</v>
      </c>
      <c r="D74" s="451">
        <f t="shared" si="29"/>
        <v>-1279.5294359999989</v>
      </c>
      <c r="E74" s="222">
        <f t="shared" si="43"/>
        <v>-8.8144444444444359E-2</v>
      </c>
      <c r="F74" s="191"/>
      <c r="G74" s="463">
        <v>14516.28</v>
      </c>
      <c r="H74" s="464">
        <v>15444.542341999999</v>
      </c>
      <c r="I74" s="451">
        <f t="shared" si="31"/>
        <v>928.26234199999817</v>
      </c>
      <c r="J74" s="223">
        <f t="shared" si="44"/>
        <v>6.3946296296296168E-2</v>
      </c>
      <c r="K74" s="191"/>
      <c r="L74" s="463">
        <v>14516.28</v>
      </c>
      <c r="M74" s="695">
        <v>15041.581162</v>
      </c>
      <c r="N74" s="451">
        <f t="shared" si="33"/>
        <v>525.30116199999975</v>
      </c>
      <c r="O74" s="294">
        <f>IF(ISERROR(N74/L74),"-",N74/L74)</f>
        <v>3.6187037037037018E-2</v>
      </c>
      <c r="P74" s="191"/>
      <c r="Q74" s="463">
        <v>14516.28</v>
      </c>
      <c r="R74" s="695">
        <v>13824.633021999998</v>
      </c>
      <c r="S74" s="451">
        <f t="shared" si="35"/>
        <v>-691.64697800000249</v>
      </c>
      <c r="T74" s="221">
        <f>IF(ISERROR(S74/Q74),"-",S74/Q74)</f>
        <v>-4.7646296296296464E-2</v>
      </c>
      <c r="U74" s="191"/>
      <c r="V74" s="705">
        <f t="shared" si="39"/>
        <v>58065.120000000003</v>
      </c>
      <c r="W74" s="451">
        <f t="shared" si="40"/>
        <v>57547.507089999999</v>
      </c>
      <c r="X74" s="451">
        <f t="shared" si="41"/>
        <v>-517.61291000000347</v>
      </c>
      <c r="Y74" s="220">
        <f t="shared" si="42"/>
        <v>-8.9143518518519111E-3</v>
      </c>
      <c r="Z74" s="191"/>
      <c r="AA74" s="450">
        <v>58065.120000000003</v>
      </c>
      <c r="AB74" s="642">
        <f t="shared" si="48"/>
        <v>517.61291000000347</v>
      </c>
      <c r="AC74" s="220">
        <f t="shared" si="47"/>
        <v>8.9143518518519111E-3</v>
      </c>
      <c r="AD74" s="191"/>
      <c r="AE74" s="549"/>
    </row>
    <row r="75" spans="1:31" x14ac:dyDescent="0.3">
      <c r="A75" s="276" t="s">
        <v>120</v>
      </c>
      <c r="B75" s="453"/>
      <c r="C75" s="453"/>
      <c r="D75" s="451">
        <f t="shared" si="29"/>
        <v>0</v>
      </c>
      <c r="E75" s="294" t="str">
        <f t="shared" si="43"/>
        <v>-</v>
      </c>
      <c r="F75" s="191"/>
      <c r="G75" s="463"/>
      <c r="H75" s="464"/>
      <c r="I75" s="451">
        <f t="shared" si="31"/>
        <v>0</v>
      </c>
      <c r="J75" s="295" t="str">
        <f t="shared" si="44"/>
        <v>-</v>
      </c>
      <c r="K75" s="191"/>
      <c r="L75" s="463">
        <v>0</v>
      </c>
      <c r="M75" s="695">
        <v>0</v>
      </c>
      <c r="N75" s="451">
        <f t="shared" si="33"/>
        <v>0</v>
      </c>
      <c r="O75" s="294" t="str">
        <f>IF(ISERROR(N75/L75),"-",N75/L75)</f>
        <v>-</v>
      </c>
      <c r="P75" s="191"/>
      <c r="Q75" s="450">
        <v>0</v>
      </c>
      <c r="R75" s="451">
        <v>0</v>
      </c>
      <c r="S75" s="451">
        <f t="shared" si="35"/>
        <v>0</v>
      </c>
      <c r="T75" s="295" t="str">
        <f>IF(ISERROR(S75/Q75),"-",S75/Q75)</f>
        <v>-</v>
      </c>
      <c r="U75" s="191"/>
      <c r="V75" s="705">
        <f t="shared" si="39"/>
        <v>0</v>
      </c>
      <c r="W75" s="451">
        <f t="shared" si="40"/>
        <v>0</v>
      </c>
      <c r="X75" s="451">
        <f t="shared" si="41"/>
        <v>0</v>
      </c>
      <c r="Y75" s="220" t="str">
        <f t="shared" si="42"/>
        <v>-</v>
      </c>
      <c r="Z75" s="191"/>
      <c r="AA75" s="450">
        <v>0</v>
      </c>
      <c r="AB75" s="642">
        <f t="shared" si="48"/>
        <v>0</v>
      </c>
      <c r="AC75" s="294" t="str">
        <f t="shared" si="47"/>
        <v>-</v>
      </c>
      <c r="AD75" s="191"/>
      <c r="AE75" s="549"/>
    </row>
    <row r="76" spans="1:31" x14ac:dyDescent="0.3">
      <c r="A76" s="199" t="s">
        <v>102</v>
      </c>
      <c r="B76" s="469">
        <f>SUM(B43:B75)</f>
        <v>247651.96267400001</v>
      </c>
      <c r="C76" s="470">
        <f>SUM(C43:C75)</f>
        <v>188589.64948399999</v>
      </c>
      <c r="D76" s="470">
        <f>SUM(D43:D75)</f>
        <v>-59062.313189999993</v>
      </c>
      <c r="E76" s="237">
        <f t="shared" si="43"/>
        <v>-0.23848917873405859</v>
      </c>
      <c r="F76" s="203"/>
      <c r="G76" s="469">
        <f>SUM(G43:G75)</f>
        <v>208973.73244399999</v>
      </c>
      <c r="H76" s="470">
        <f>SUM(H43:H75)</f>
        <v>168990.305868</v>
      </c>
      <c r="I76" s="470">
        <f>SUM(I43:I75)</f>
        <v>-39983.426576000013</v>
      </c>
      <c r="J76" s="237">
        <f>IF(ISERROR(I76/G76),"-",I76/G76)</f>
        <v>-0.19133230817282082</v>
      </c>
      <c r="K76" s="203"/>
      <c r="L76" s="469">
        <f>SUM(L43:L75)</f>
        <v>405420.82923600019</v>
      </c>
      <c r="M76" s="470">
        <f>SUM(M43:M75)</f>
        <v>380955.92426600005</v>
      </c>
      <c r="N76" s="470">
        <f>SUM(N43:N75)</f>
        <v>-24464.904969999985</v>
      </c>
      <c r="O76" s="237">
        <f>IF(ISERROR(N76/L76),"-",N76/L76)</f>
        <v>-6.0344469760231972E-2</v>
      </c>
      <c r="P76" s="203"/>
      <c r="Q76" s="469">
        <f>SUM(Q43:Q75)</f>
        <v>709007.18542600004</v>
      </c>
      <c r="R76" s="470">
        <f>SUM(R43:R75)</f>
        <v>352411.48762200016</v>
      </c>
      <c r="S76" s="470">
        <f>SUM(S43:S75)</f>
        <v>-356595.697804</v>
      </c>
      <c r="T76" s="237">
        <f>IF(ISERROR(S76/Q76),"-",S76/Q76)</f>
        <v>-0.5029507530163364</v>
      </c>
      <c r="U76" s="203"/>
      <c r="V76" s="469">
        <f>SUM(V43:V75)</f>
        <v>1571053.7097800002</v>
      </c>
      <c r="W76" s="470">
        <f>SUM(W43:W75)</f>
        <v>1090947.3672400001</v>
      </c>
      <c r="X76" s="470">
        <f>SUM(X43:X75)</f>
        <v>-480106.34253999998</v>
      </c>
      <c r="Y76" s="237">
        <f t="shared" si="42"/>
        <v>-0.30559511718235965</v>
      </c>
      <c r="Z76" s="203"/>
      <c r="AA76" s="469">
        <f>SUM(AA43:AA75)</f>
        <v>1571053.7043800002</v>
      </c>
      <c r="AB76" s="470">
        <f>SUM(AB43:AB75)</f>
        <v>480106.33713999996</v>
      </c>
      <c r="AC76" s="237">
        <f t="shared" si="47"/>
        <v>0.30559511479556256</v>
      </c>
      <c r="AD76" s="203"/>
      <c r="AE76" s="1058"/>
    </row>
    <row r="77" spans="1:31" x14ac:dyDescent="0.3">
      <c r="A77" s="277"/>
      <c r="B77" s="486"/>
      <c r="C77" s="487"/>
      <c r="D77" s="487"/>
      <c r="E77" s="280"/>
      <c r="F77" s="175"/>
      <c r="G77" s="488"/>
      <c r="H77" s="489"/>
      <c r="I77" s="489"/>
      <c r="J77" s="292"/>
      <c r="K77" s="175"/>
      <c r="L77" s="486"/>
      <c r="M77" s="487"/>
      <c r="N77" s="487"/>
      <c r="O77" s="284"/>
      <c r="P77" s="175"/>
      <c r="Q77" s="488"/>
      <c r="R77" s="489"/>
      <c r="S77" s="489"/>
      <c r="T77" s="285"/>
      <c r="U77" s="175"/>
      <c r="V77" s="490"/>
      <c r="W77" s="491"/>
      <c r="X77" s="487"/>
      <c r="Y77" s="284"/>
      <c r="Z77" s="175"/>
      <c r="AA77" s="490"/>
      <c r="AB77" s="487"/>
      <c r="AC77" s="284"/>
      <c r="AD77" s="175"/>
      <c r="AE77" s="549"/>
    </row>
    <row r="78" spans="1:31" ht="19.5" thickBot="1" x14ac:dyDescent="0.35">
      <c r="A78" s="199" t="s">
        <v>103</v>
      </c>
      <c r="B78" s="469">
        <f>B41+B76+B77</f>
        <v>723012.09454000008</v>
      </c>
      <c r="C78" s="470">
        <f>C41+C76+C77</f>
        <v>661421.44860400003</v>
      </c>
      <c r="D78" s="470">
        <f>D41+D76+D77</f>
        <v>-61590.645936000074</v>
      </c>
      <c r="E78" s="237">
        <f>IF(ISERROR(D78/B78),"-",D78/B78)</f>
        <v>-8.5186190384803614E-2</v>
      </c>
      <c r="F78" s="256"/>
      <c r="G78" s="469">
        <f>G41+G76+G77</f>
        <v>683815.36429400009</v>
      </c>
      <c r="H78" s="470">
        <f>H41+H76+H77</f>
        <v>642864.10507200006</v>
      </c>
      <c r="I78" s="470">
        <f>I41+I76+I77</f>
        <v>-40951.259222000073</v>
      </c>
      <c r="J78" s="237">
        <f>IF(ISERROR(I78/G78),"-",I78/G78)</f>
        <v>-5.9886427477802998E-2</v>
      </c>
      <c r="K78" s="256"/>
      <c r="L78" s="469">
        <f>L41+L76+L77</f>
        <v>880809.02591000032</v>
      </c>
      <c r="M78" s="470">
        <f>M41+M76+M77</f>
        <v>856795.46972000005</v>
      </c>
      <c r="N78" s="470">
        <f>N41+N76+N77</f>
        <v>-24013.556190000116</v>
      </c>
      <c r="O78" s="237">
        <f>IF(ISERROR(N78/L78),"-",N78/L78)</f>
        <v>-2.7263067797461221E-2</v>
      </c>
      <c r="P78" s="256"/>
      <c r="Q78" s="469">
        <f>Q41+Q76+Q77</f>
        <v>1182798.8063560002</v>
      </c>
      <c r="R78" s="470">
        <f>R41+R76+R77</f>
        <v>826635.3711120002</v>
      </c>
      <c r="S78" s="470">
        <f>S41+S76+S77</f>
        <v>-356163.43524400011</v>
      </c>
      <c r="T78" s="237">
        <f>IF(ISERROR(S78/Q78),"-",S78/Q78)</f>
        <v>-0.30111920415381416</v>
      </c>
      <c r="U78" s="256"/>
      <c r="V78" s="469">
        <f>V41+V76+V77</f>
        <v>3470435.2911000005</v>
      </c>
      <c r="W78" s="470">
        <f>W41+W76+W77</f>
        <v>2987716.394508</v>
      </c>
      <c r="X78" s="470">
        <f>X41+X76+X77</f>
        <v>-482718.89659200044</v>
      </c>
      <c r="Y78" s="237">
        <f>IF(ISERROR(X78/V78),"-",X78/V78)</f>
        <v>-0.13909462534280426</v>
      </c>
      <c r="Z78" s="256"/>
      <c r="AA78" s="469">
        <f>AA41+AA76+AA77</f>
        <v>3470435.2857000008</v>
      </c>
      <c r="AB78" s="470">
        <f>AB41+AB76+AB77</f>
        <v>482718.89119200042</v>
      </c>
      <c r="AC78" s="237">
        <f>IF(ISERROR(AB78/AA78),"-",AB78/AA78)</f>
        <v>0.13909462400323483</v>
      </c>
      <c r="AD78" s="256"/>
      <c r="AE78" s="1058"/>
    </row>
    <row r="79" spans="1:31" ht="38.25" thickBot="1" x14ac:dyDescent="0.35">
      <c r="A79" s="288" t="s">
        <v>170</v>
      </c>
      <c r="B79" s="486">
        <f>B25-B78</f>
        <v>890311.1354599999</v>
      </c>
      <c r="C79" s="486">
        <f>C25-C78</f>
        <v>1084646.0920299999</v>
      </c>
      <c r="D79" s="486">
        <f>D25-D78</f>
        <v>194334.95657000007</v>
      </c>
      <c r="E79" s="289"/>
      <c r="F79" s="290">
        <f>F25-F78</f>
        <v>0</v>
      </c>
      <c r="G79" s="486">
        <f>G25-G78</f>
        <v>-630528.25097400008</v>
      </c>
      <c r="H79" s="486">
        <f>H25-H78</f>
        <v>-554188.182852</v>
      </c>
      <c r="I79" s="486">
        <f>I25-I78</f>
        <v>76340.068122000113</v>
      </c>
      <c r="J79" s="290"/>
      <c r="K79" s="290">
        <f>K25-K78</f>
        <v>0</v>
      </c>
      <c r="L79" s="486">
        <f>L25-L78</f>
        <v>-856134.03811000031</v>
      </c>
      <c r="M79" s="486">
        <f>M25-M78</f>
        <v>-775130.64192000008</v>
      </c>
      <c r="N79" s="486">
        <f>N25-N78</f>
        <v>81003.396190000116</v>
      </c>
      <c r="O79" s="290"/>
      <c r="P79" s="290">
        <f>P25-P78</f>
        <v>0</v>
      </c>
      <c r="Q79" s="486">
        <f>Q25-Q78</f>
        <v>-1155332.4992040002</v>
      </c>
      <c r="R79" s="486">
        <f>R25-R78</f>
        <v>-790654.78186400025</v>
      </c>
      <c r="S79" s="486">
        <f>S25-S78</f>
        <v>364677.71734000009</v>
      </c>
      <c r="T79" s="290"/>
      <c r="U79" s="290">
        <f>U25-U78</f>
        <v>0</v>
      </c>
      <c r="V79" s="486">
        <f>V25-V78</f>
        <v>-1751683.6528280003</v>
      </c>
      <c r="W79" s="486">
        <f>W25-W78</f>
        <v>-1035327.5146059999</v>
      </c>
      <c r="X79" s="486">
        <f>X25-X78</f>
        <v>716356.13822200033</v>
      </c>
      <c r="Y79" s="290"/>
      <c r="Z79" s="290">
        <f>Z25-Z78</f>
        <v>0</v>
      </c>
      <c r="AA79" s="486">
        <f>AA25-AA78</f>
        <v>-1751683.6474280006</v>
      </c>
      <c r="AB79" s="486">
        <f>AB25-AB78</f>
        <v>-716356.13282200042</v>
      </c>
      <c r="AC79" s="290"/>
      <c r="AD79" s="175"/>
      <c r="AE79" s="549"/>
    </row>
    <row r="80" spans="1:31" ht="19.5" thickBot="1" x14ac:dyDescent="0.35">
      <c r="A80" s="291" t="s">
        <v>171</v>
      </c>
      <c r="B80" s="486"/>
      <c r="C80" s="487"/>
      <c r="D80" s="487">
        <f>C80-B80</f>
        <v>0</v>
      </c>
      <c r="E80" s="280"/>
      <c r="F80" s="175"/>
      <c r="G80" s="488"/>
      <c r="H80" s="489"/>
      <c r="I80" s="487">
        <f>H80-G80</f>
        <v>0</v>
      </c>
      <c r="J80" s="292"/>
      <c r="K80" s="175"/>
      <c r="L80" s="486"/>
      <c r="M80" s="487"/>
      <c r="N80" s="487">
        <f>M80-L80</f>
        <v>0</v>
      </c>
      <c r="O80" s="284"/>
      <c r="P80" s="175"/>
      <c r="Q80" s="488"/>
      <c r="R80" s="489"/>
      <c r="S80" s="487">
        <f>R80-Q80</f>
        <v>0</v>
      </c>
      <c r="T80" s="292"/>
      <c r="U80" s="175"/>
      <c r="V80" s="490"/>
      <c r="W80" s="491"/>
      <c r="X80" s="487"/>
      <c r="Y80" s="284"/>
      <c r="Z80" s="175"/>
      <c r="AA80" s="490"/>
      <c r="AB80" s="487"/>
      <c r="AC80" s="284"/>
      <c r="AD80" s="175"/>
      <c r="AE80" s="549"/>
    </row>
    <row r="81" spans="1:31" ht="38.25" thickBot="1" x14ac:dyDescent="0.35">
      <c r="A81" s="293" t="s">
        <v>172</v>
      </c>
      <c r="B81" s="486">
        <f>B79-B80</f>
        <v>890311.1354599999</v>
      </c>
      <c r="C81" s="486">
        <f t="shared" ref="C81:AA81" si="49">C79-C80</f>
        <v>1084646.0920299999</v>
      </c>
      <c r="D81" s="486">
        <f t="shared" si="49"/>
        <v>194334.95657000007</v>
      </c>
      <c r="E81" s="289">
        <f>E79-E80</f>
        <v>0</v>
      </c>
      <c r="F81" s="290">
        <f t="shared" si="49"/>
        <v>0</v>
      </c>
      <c r="G81" s="486">
        <f t="shared" si="49"/>
        <v>-630528.25097400008</v>
      </c>
      <c r="H81" s="486">
        <f t="shared" si="49"/>
        <v>-554188.182852</v>
      </c>
      <c r="I81" s="486">
        <f t="shared" si="49"/>
        <v>76340.068122000113</v>
      </c>
      <c r="J81" s="290">
        <f>J79-J80</f>
        <v>0</v>
      </c>
      <c r="K81" s="290">
        <f t="shared" si="49"/>
        <v>0</v>
      </c>
      <c r="L81" s="486">
        <f t="shared" si="49"/>
        <v>-856134.03811000031</v>
      </c>
      <c r="M81" s="486">
        <f t="shared" si="49"/>
        <v>-775130.64192000008</v>
      </c>
      <c r="N81" s="486">
        <f t="shared" si="49"/>
        <v>81003.396190000116</v>
      </c>
      <c r="O81" s="290">
        <f t="shared" si="49"/>
        <v>0</v>
      </c>
      <c r="P81" s="290">
        <f t="shared" si="49"/>
        <v>0</v>
      </c>
      <c r="Q81" s="486">
        <f t="shared" si="49"/>
        <v>-1155332.4992040002</v>
      </c>
      <c r="R81" s="486">
        <f t="shared" si="49"/>
        <v>-790654.78186400025</v>
      </c>
      <c r="S81" s="486">
        <f t="shared" si="49"/>
        <v>364677.71734000009</v>
      </c>
      <c r="T81" s="290">
        <f t="shared" si="49"/>
        <v>0</v>
      </c>
      <c r="U81" s="290">
        <f t="shared" si="49"/>
        <v>0</v>
      </c>
      <c r="V81" s="486">
        <f>V79-V80</f>
        <v>-1751683.6528280003</v>
      </c>
      <c r="W81" s="486">
        <f t="shared" si="49"/>
        <v>-1035327.5146059999</v>
      </c>
      <c r="X81" s="486">
        <f t="shared" si="49"/>
        <v>716356.13822200033</v>
      </c>
      <c r="Y81" s="290">
        <f t="shared" si="49"/>
        <v>0</v>
      </c>
      <c r="Z81" s="290">
        <f t="shared" si="49"/>
        <v>0</v>
      </c>
      <c r="AA81" s="486">
        <f t="shared" si="49"/>
        <v>-1751683.6474280006</v>
      </c>
      <c r="AB81" s="486">
        <f>AB79-AB80</f>
        <v>-716356.13282200042</v>
      </c>
      <c r="AC81" s="290">
        <f>AC79-AC80</f>
        <v>0</v>
      </c>
      <c r="AD81" s="175"/>
      <c r="AE81" s="549"/>
    </row>
    <row r="82" spans="1:31" x14ac:dyDescent="0.3">
      <c r="A82" s="172" t="s">
        <v>104</v>
      </c>
      <c r="B82" s="450"/>
      <c r="C82" s="451"/>
      <c r="D82" s="451">
        <f>B82-C82</f>
        <v>0</v>
      </c>
      <c r="E82" s="220" t="str">
        <f>IF(ISERROR(D82/B82),"-",D82/B82)</f>
        <v>-</v>
      </c>
      <c r="F82" s="256"/>
      <c r="G82" s="463"/>
      <c r="H82" s="464"/>
      <c r="I82" s="464">
        <f>G82-H82</f>
        <v>0</v>
      </c>
      <c r="J82" s="295" t="str">
        <f>IF(ISERROR(I82/G82),"-",I82/G82)</f>
        <v>-</v>
      </c>
      <c r="K82" s="256"/>
      <c r="L82" s="450"/>
      <c r="M82" s="451"/>
      <c r="N82" s="451">
        <f>L82-M82</f>
        <v>0</v>
      </c>
      <c r="O82" s="294" t="str">
        <f>IF(ISERROR(N82/L82),"-",N82/L82)</f>
        <v>-</v>
      </c>
      <c r="P82" s="256"/>
      <c r="Q82" s="463"/>
      <c r="R82" s="464"/>
      <c r="S82" s="464">
        <f>Q82-R82</f>
        <v>0</v>
      </c>
      <c r="T82" s="295" t="str">
        <f>IF(ISERROR(S82/Q82),"-",S82/Q82)</f>
        <v>-</v>
      </c>
      <c r="U82" s="256"/>
      <c r="V82" s="450">
        <f>B82+G82+L82+Q82</f>
        <v>0</v>
      </c>
      <c r="W82" s="451">
        <f>C82+H82+M82+R82</f>
        <v>0</v>
      </c>
      <c r="X82" s="451">
        <f>V82-W82</f>
        <v>0</v>
      </c>
      <c r="Y82" s="294" t="str">
        <f>IF(ISERROR(X82/V82),"-",X82/V82)</f>
        <v>-</v>
      </c>
      <c r="Z82" s="256"/>
      <c r="AA82" s="450">
        <f>G82+L82+Q82+V82</f>
        <v>0</v>
      </c>
      <c r="AB82" s="451">
        <f>AA82-W82</f>
        <v>0</v>
      </c>
      <c r="AC82" s="294" t="str">
        <f>IF(ISERROR(AB82/AA82),"-",AB82/AA82)</f>
        <v>-</v>
      </c>
      <c r="AD82" s="256"/>
      <c r="AE82" s="549"/>
    </row>
    <row r="83" spans="1:31" ht="21" customHeight="1" thickBot="1" x14ac:dyDescent="0.35">
      <c r="A83" s="296" t="s">
        <v>105</v>
      </c>
      <c r="B83" s="492">
        <f>B81-B82</f>
        <v>890311.1354599999</v>
      </c>
      <c r="C83" s="492">
        <f>C81-C82</f>
        <v>1084646.0920299999</v>
      </c>
      <c r="D83" s="493">
        <f>C83-B83</f>
        <v>194334.95657000004</v>
      </c>
      <c r="E83" s="299">
        <f>IF(ISERROR(D83/B83),"-",D83/B83)</f>
        <v>0.21827757604041689</v>
      </c>
      <c r="F83" s="300"/>
      <c r="G83" s="492">
        <f>G81-G82</f>
        <v>-630528.25097400008</v>
      </c>
      <c r="H83" s="492">
        <f>H81-H82</f>
        <v>-554188.182852</v>
      </c>
      <c r="I83" s="493">
        <f>H83-G83</f>
        <v>76340.068122000084</v>
      </c>
      <c r="J83" s="299">
        <f>IF(ISERROR(I83/G83),"-",I83/G83)</f>
        <v>-0.12107319220681197</v>
      </c>
      <c r="K83" s="300"/>
      <c r="L83" s="492">
        <f>L81-L82</f>
        <v>-856134.03811000031</v>
      </c>
      <c r="M83" s="492">
        <f>M81-M82</f>
        <v>-775130.64192000008</v>
      </c>
      <c r="N83" s="493">
        <f>M83-L83</f>
        <v>81003.396190000232</v>
      </c>
      <c r="O83" s="299">
        <f>IF(ISERROR(N83/L83),"-",N83/L83)</f>
        <v>-9.4615320246842605E-2</v>
      </c>
      <c r="P83" s="300"/>
      <c r="Q83" s="492">
        <f>Q81-Q82</f>
        <v>-1155332.4992040002</v>
      </c>
      <c r="R83" s="492">
        <f>R81-R82</f>
        <v>-790654.78186400025</v>
      </c>
      <c r="S83" s="493">
        <f>R83-Q83</f>
        <v>364677.71733999997</v>
      </c>
      <c r="T83" s="299">
        <f>IF(ISERROR(S83/Q83),"-",S83/Q83)</f>
        <v>-0.31564741543344038</v>
      </c>
      <c r="U83" s="300"/>
      <c r="V83" s="494">
        <f>V81-V82</f>
        <v>-1751683.6528280003</v>
      </c>
      <c r="W83" s="494">
        <f>W81-W82</f>
        <v>-1035327.5146059999</v>
      </c>
      <c r="X83" s="493">
        <f>W83-V83</f>
        <v>716356.13822200033</v>
      </c>
      <c r="Y83" s="303">
        <f>IF(ISERROR(X83/V83),"-",X83/V83)</f>
        <v>-0.40895291627885055</v>
      </c>
      <c r="Z83" s="300"/>
      <c r="AA83" s="494">
        <f>AA81-AA82</f>
        <v>-1751683.6474280006</v>
      </c>
      <c r="AB83" s="494">
        <f>AB81-AB82</f>
        <v>-716356.13282200042</v>
      </c>
      <c r="AC83" s="303">
        <f>IF(ISERROR(AB83/AA83),"-",AB83/AA83)</f>
        <v>0.4089529144568011</v>
      </c>
      <c r="AE83" s="1059"/>
    </row>
  </sheetData>
  <sheetProtection algorithmName="SHA-512" hashValue="K+hO+Xdbb7g4Xs1c5BbeAcyqfwlkeBcntIFNAgq7zuplEsyZsiz51cAftE2UrgmVrIrNiMzFdNIPhevmopuTpw==" saltValue="ba0r0rUajy47JZAN1oCgbQ==" spinCount="100000" sheet="1" objects="1" scenarios="1"/>
  <mergeCells count="19">
    <mergeCell ref="Q9:T9"/>
    <mergeCell ref="V9:Y9"/>
    <mergeCell ref="AA9:AC9"/>
    <mergeCell ref="AE9:AE11"/>
    <mergeCell ref="D10:E10"/>
    <mergeCell ref="I10:J10"/>
    <mergeCell ref="N10:O10"/>
    <mergeCell ref="S10:T10"/>
    <mergeCell ref="X10:Y10"/>
    <mergeCell ref="AB10:AC10"/>
    <mergeCell ref="B9:E9"/>
    <mergeCell ref="G9:J9"/>
    <mergeCell ref="L9:O9"/>
    <mergeCell ref="A7:H7"/>
    <mergeCell ref="A1:H1"/>
    <mergeCell ref="A3:H3"/>
    <mergeCell ref="A4:H4"/>
    <mergeCell ref="A5:H5"/>
    <mergeCell ref="A6:H6"/>
  </mergeCells>
  <conditionalFormatting sqref="E56">
    <cfRule type="cellIs" dxfId="4" priority="1" stopIfTrue="1" operator="equal">
      <formula>""""""</formula>
    </cfRule>
  </conditionalFormatting>
  <pageMargins left="0.7" right="0.7" top="0.75" bottom="0.75" header="0.3" footer="0.3"/>
  <pageSetup scale="53" fitToHeight="0" orientation="landscape" horizontalDpi="300" verticalDpi="300" r:id="rId1"/>
  <rowBreaks count="1" manualBreakCount="1">
    <brk id="49" max="30" man="1"/>
  </rowBreaks>
  <colBreaks count="2" manualBreakCount="2">
    <brk id="11" max="87" man="1"/>
    <brk id="29"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59999389629810485"/>
    <pageSetUpPr fitToPage="1"/>
  </sheetPr>
  <dimension ref="A1:I72"/>
  <sheetViews>
    <sheetView zoomScale="80" zoomScaleNormal="80" workbookViewId="0">
      <selection activeCell="H42" sqref="H42"/>
    </sheetView>
  </sheetViews>
  <sheetFormatPr defaultColWidth="8.85546875" defaultRowHeight="15.75" customHeight="1" x14ac:dyDescent="0.3"/>
  <cols>
    <col min="1" max="1" width="64.42578125" style="49" customWidth="1"/>
    <col min="2" max="2" width="16.42578125" style="403" customWidth="1"/>
    <col min="3" max="3" width="16.85546875" style="403" customWidth="1"/>
    <col min="4" max="4" width="18.140625" style="403" customWidth="1"/>
    <col min="5" max="5" width="17" style="403" customWidth="1"/>
    <col min="6" max="6" width="17.42578125" style="403" customWidth="1"/>
    <col min="7" max="7" width="8.85546875" style="49" customWidth="1"/>
    <col min="8" max="8" width="11.85546875" style="49" customWidth="1"/>
    <col min="9" max="231" width="8.85546875" style="49" customWidth="1"/>
    <col min="232" max="16384" width="8.85546875" style="49"/>
  </cols>
  <sheetData>
    <row r="1" spans="1:6" ht="18.75" customHeight="1" x14ac:dyDescent="0.3">
      <c r="A1" s="1418" t="s">
        <v>49</v>
      </c>
      <c r="B1" s="1419"/>
      <c r="C1" s="1419"/>
      <c r="D1" s="1419"/>
      <c r="E1" s="1419"/>
      <c r="F1" s="1419"/>
    </row>
    <row r="2" spans="1:6" ht="18.75" customHeight="1" x14ac:dyDescent="0.3">
      <c r="A2" s="50"/>
      <c r="B2" s="573"/>
      <c r="C2" s="573"/>
      <c r="D2" s="573"/>
      <c r="E2" s="573"/>
      <c r="F2" s="573"/>
    </row>
    <row r="3" spans="1:6" s="52" customFormat="1" ht="18.75" customHeight="1" x14ac:dyDescent="0.3">
      <c r="A3" s="1420" t="s">
        <v>175</v>
      </c>
      <c r="B3" s="1421"/>
      <c r="C3" s="1421"/>
      <c r="D3" s="1421"/>
      <c r="E3" s="1421"/>
      <c r="F3" s="1421"/>
    </row>
    <row r="4" spans="1:6" ht="18.75" customHeight="1" x14ac:dyDescent="0.3">
      <c r="A4" s="1422" t="s">
        <v>0</v>
      </c>
      <c r="B4" s="1423"/>
      <c r="C4" s="1423"/>
      <c r="D4" s="1423"/>
      <c r="E4" s="1423"/>
      <c r="F4" s="1423"/>
    </row>
    <row r="5" spans="1:6" ht="18.75" customHeight="1" x14ac:dyDescent="0.3">
      <c r="A5" s="1422" t="s">
        <v>1</v>
      </c>
      <c r="B5" s="1424"/>
      <c r="C5" s="1424"/>
      <c r="D5" s="1424"/>
      <c r="E5" s="1424"/>
      <c r="F5" s="1424"/>
    </row>
    <row r="6" spans="1:6" ht="18.75" customHeight="1" x14ac:dyDescent="0.3">
      <c r="A6" s="1420" t="s">
        <v>195</v>
      </c>
      <c r="B6" s="1425"/>
      <c r="C6" s="1425"/>
      <c r="D6" s="1425"/>
      <c r="E6" s="1425"/>
      <c r="F6" s="1425"/>
    </row>
    <row r="7" spans="1:6" ht="18.75" customHeight="1" x14ac:dyDescent="0.3">
      <c r="A7" s="1416" t="s">
        <v>2</v>
      </c>
      <c r="B7" s="1417"/>
      <c r="C7" s="1417"/>
      <c r="D7" s="1417"/>
      <c r="E7" s="1417"/>
      <c r="F7" s="1417"/>
    </row>
    <row r="8" spans="1:6" ht="16.5" customHeight="1" thickBot="1" x14ac:dyDescent="0.35">
      <c r="A8" s="309"/>
      <c r="B8" s="574"/>
      <c r="C8" s="575"/>
      <c r="D8" s="574"/>
      <c r="E8" s="575"/>
      <c r="F8" s="574"/>
    </row>
    <row r="9" spans="1:6" ht="17.45" customHeight="1" x14ac:dyDescent="0.3">
      <c r="A9" s="312"/>
      <c r="B9" s="576" t="s">
        <v>164</v>
      </c>
      <c r="C9" s="577" t="s">
        <v>165</v>
      </c>
      <c r="D9" s="576" t="s">
        <v>166</v>
      </c>
      <c r="E9" s="577" t="s">
        <v>167</v>
      </c>
      <c r="F9" s="576" t="s">
        <v>3</v>
      </c>
    </row>
    <row r="10" spans="1:6" ht="15" customHeight="1" x14ac:dyDescent="0.3">
      <c r="A10" s="314"/>
      <c r="B10" s="59">
        <v>44927</v>
      </c>
      <c r="C10" s="315">
        <v>45016</v>
      </c>
      <c r="D10" s="59">
        <v>45107</v>
      </c>
      <c r="E10" s="315">
        <v>45199</v>
      </c>
      <c r="F10" s="59">
        <v>45291</v>
      </c>
    </row>
    <row r="11" spans="1:6" ht="15" customHeight="1" thickBot="1" x14ac:dyDescent="0.35">
      <c r="A11" s="316"/>
      <c r="B11" s="578" t="s">
        <v>107</v>
      </c>
      <c r="C11" s="579" t="s">
        <v>107</v>
      </c>
      <c r="D11" s="578" t="s">
        <v>107</v>
      </c>
      <c r="E11" s="579" t="s">
        <v>107</v>
      </c>
      <c r="F11" s="578" t="s">
        <v>107</v>
      </c>
    </row>
    <row r="12" spans="1:6" ht="15" customHeight="1" x14ac:dyDescent="0.3">
      <c r="A12" s="319" t="s">
        <v>4</v>
      </c>
      <c r="B12" s="580"/>
      <c r="C12" s="581"/>
      <c r="D12" s="580"/>
      <c r="E12" s="581"/>
      <c r="F12" s="580"/>
    </row>
    <row r="13" spans="1:6" ht="15" customHeight="1" x14ac:dyDescent="0.3">
      <c r="A13" s="322" t="s">
        <v>5</v>
      </c>
      <c r="B13" s="582"/>
      <c r="C13" s="583"/>
      <c r="D13" s="582"/>
      <c r="E13" s="583"/>
      <c r="F13" s="582"/>
    </row>
    <row r="14" spans="1:6" ht="15" customHeight="1" x14ac:dyDescent="0.3">
      <c r="A14" s="324" t="s">
        <v>6</v>
      </c>
      <c r="B14" s="1000">
        <v>0.47885611</v>
      </c>
      <c r="C14" s="1000">
        <v>0.32209752000000003</v>
      </c>
      <c r="D14" s="1001">
        <v>0.40879115999999999</v>
      </c>
      <c r="E14" s="1002">
        <v>0.8</v>
      </c>
      <c r="F14" s="1000">
        <v>0.48278184000000002</v>
      </c>
    </row>
    <row r="15" spans="1:6" ht="15" customHeight="1" x14ac:dyDescent="0.3">
      <c r="A15" s="325" t="s">
        <v>7</v>
      </c>
      <c r="B15" s="1000">
        <v>4.0939790000000004E-2</v>
      </c>
      <c r="C15" s="1000">
        <v>3.1939790000000003E-2</v>
      </c>
      <c r="D15" s="1001">
        <v>0.61538988999999999</v>
      </c>
      <c r="E15" s="1002">
        <v>0.02</v>
      </c>
      <c r="F15" s="1000">
        <v>7.9377900000000001E-3</v>
      </c>
    </row>
    <row r="16" spans="1:6" ht="15" customHeight="1" x14ac:dyDescent="0.3">
      <c r="A16" s="325" t="s">
        <v>8</v>
      </c>
      <c r="B16" s="1000">
        <v>4.4219999999999997E-3</v>
      </c>
      <c r="C16" s="1000">
        <v>4.4219999999999997E-3</v>
      </c>
      <c r="D16" s="1001">
        <v>4.4219999999999997E-3</v>
      </c>
      <c r="E16" s="1002">
        <v>0</v>
      </c>
      <c r="F16" s="1000">
        <v>4.4219999999999997E-3</v>
      </c>
    </row>
    <row r="17" spans="1:6" ht="15" customHeight="1" x14ac:dyDescent="0.3">
      <c r="A17" s="325" t="s">
        <v>9</v>
      </c>
      <c r="B17" s="1000">
        <v>0</v>
      </c>
      <c r="C17" s="1000">
        <v>0</v>
      </c>
      <c r="D17" s="1001">
        <v>0</v>
      </c>
      <c r="E17" s="1002">
        <v>0</v>
      </c>
      <c r="F17" s="1000">
        <v>0</v>
      </c>
    </row>
    <row r="18" spans="1:6" ht="15" customHeight="1" x14ac:dyDescent="0.3">
      <c r="A18" s="325" t="s">
        <v>10</v>
      </c>
      <c r="B18" s="1000">
        <v>1.4487000000000001E-4</v>
      </c>
      <c r="C18" s="1000">
        <v>1.4487000000000001E-4</v>
      </c>
      <c r="D18" s="1001">
        <v>1.4487000000000001E-4</v>
      </c>
      <c r="E18" s="1002">
        <v>0</v>
      </c>
      <c r="F18" s="1000">
        <v>1.4487000000000001E-4</v>
      </c>
    </row>
    <row r="19" spans="1:6" ht="15" customHeight="1" x14ac:dyDescent="0.3">
      <c r="A19" s="326" t="s">
        <v>11</v>
      </c>
      <c r="B19" s="1003">
        <v>0</v>
      </c>
      <c r="C19" s="1003">
        <v>0</v>
      </c>
      <c r="D19" s="1004">
        <v>0</v>
      </c>
      <c r="E19" s="1002">
        <v>0</v>
      </c>
      <c r="F19" s="1000">
        <v>0</v>
      </c>
    </row>
    <row r="20" spans="1:6" ht="15" customHeight="1" x14ac:dyDescent="0.3">
      <c r="A20" s="327" t="s">
        <v>12</v>
      </c>
      <c r="B20" s="1005">
        <f>SUM(B14:B19)</f>
        <v>0.52436276999999998</v>
      </c>
      <c r="C20" s="1005">
        <f>SUM(C14:C19)</f>
        <v>0.35860418000000005</v>
      </c>
      <c r="D20" s="1005">
        <f>SUM(D14:D19)</f>
        <v>1.0287479199999998</v>
      </c>
      <c r="E20" s="1005">
        <f>SUM(E14:E19)</f>
        <v>0.82000000000000006</v>
      </c>
      <c r="F20" s="1005">
        <f>SUM(F14:F19)</f>
        <v>0.49528650000000002</v>
      </c>
    </row>
    <row r="21" spans="1:6" ht="15" customHeight="1" x14ac:dyDescent="0.3">
      <c r="A21" s="328"/>
      <c r="B21" s="1006"/>
      <c r="C21" s="1007"/>
      <c r="D21" s="1006"/>
      <c r="E21" s="1007"/>
      <c r="F21" s="1006"/>
    </row>
    <row r="22" spans="1:6" ht="15" customHeight="1" x14ac:dyDescent="0.3">
      <c r="A22" s="329" t="s">
        <v>13</v>
      </c>
      <c r="B22" s="1000"/>
      <c r="C22" s="1002"/>
      <c r="D22" s="1000"/>
      <c r="E22" s="1002"/>
      <c r="F22" s="1000"/>
    </row>
    <row r="23" spans="1:6" ht="15" customHeight="1" x14ac:dyDescent="0.3">
      <c r="A23" s="325" t="s">
        <v>14</v>
      </c>
      <c r="B23" s="1000">
        <v>0</v>
      </c>
      <c r="C23" s="1000">
        <v>0</v>
      </c>
      <c r="D23" s="1001">
        <v>0</v>
      </c>
      <c r="E23" s="1002">
        <v>0</v>
      </c>
      <c r="F23" s="1000">
        <v>0</v>
      </c>
    </row>
    <row r="24" spans="1:6" ht="15" customHeight="1" x14ac:dyDescent="0.3">
      <c r="A24" s="325" t="s">
        <v>15</v>
      </c>
      <c r="B24" s="1000">
        <v>0</v>
      </c>
      <c r="C24" s="1000">
        <v>0</v>
      </c>
      <c r="D24" s="1001">
        <v>0</v>
      </c>
      <c r="E24" s="1002">
        <v>0</v>
      </c>
      <c r="F24" s="1000">
        <v>0</v>
      </c>
    </row>
    <row r="25" spans="1:6" ht="15" customHeight="1" x14ac:dyDescent="0.3">
      <c r="A25" s="325" t="s">
        <v>16</v>
      </c>
      <c r="B25" s="1000">
        <v>0</v>
      </c>
      <c r="C25" s="1000">
        <v>0</v>
      </c>
      <c r="D25" s="1001">
        <v>0</v>
      </c>
      <c r="E25" s="1002">
        <v>0</v>
      </c>
      <c r="F25" s="1000">
        <v>0</v>
      </c>
    </row>
    <row r="26" spans="1:6" ht="15" customHeight="1" x14ac:dyDescent="0.3">
      <c r="A26" s="325" t="s">
        <v>17</v>
      </c>
      <c r="B26" s="1000">
        <v>0.24035001</v>
      </c>
      <c r="C26" s="1000">
        <v>0.23796449</v>
      </c>
      <c r="D26" s="1001">
        <v>0.23796449</v>
      </c>
      <c r="E26" s="1002">
        <v>0.24</v>
      </c>
      <c r="F26" s="1000">
        <v>0.24035001</v>
      </c>
    </row>
    <row r="27" spans="1:6" ht="15" customHeight="1" x14ac:dyDescent="0.3">
      <c r="A27" s="325" t="s">
        <v>119</v>
      </c>
      <c r="B27" s="1000">
        <v>0</v>
      </c>
      <c r="C27" s="1000">
        <v>0</v>
      </c>
      <c r="D27" s="1001">
        <v>0</v>
      </c>
      <c r="E27" s="1002">
        <v>0</v>
      </c>
      <c r="F27" s="1000">
        <v>0</v>
      </c>
    </row>
    <row r="28" spans="1:6" ht="15" customHeight="1" x14ac:dyDescent="0.3">
      <c r="A28" s="325" t="s">
        <v>118</v>
      </c>
      <c r="B28" s="1000">
        <v>0</v>
      </c>
      <c r="C28" s="1000">
        <v>0</v>
      </c>
      <c r="D28" s="1001">
        <v>0</v>
      </c>
      <c r="E28" s="1002">
        <v>0</v>
      </c>
      <c r="F28" s="1000">
        <v>0</v>
      </c>
    </row>
    <row r="29" spans="1:6" ht="15" customHeight="1" x14ac:dyDescent="0.3">
      <c r="A29" s="326" t="s">
        <v>18</v>
      </c>
      <c r="B29" s="1003">
        <v>0</v>
      </c>
      <c r="C29" s="1003">
        <v>0</v>
      </c>
      <c r="D29" s="1004">
        <v>0</v>
      </c>
      <c r="E29" s="1002">
        <v>0</v>
      </c>
      <c r="F29" s="1000">
        <v>0</v>
      </c>
    </row>
    <row r="30" spans="1:6" ht="15" customHeight="1" x14ac:dyDescent="0.3">
      <c r="A30" s="327" t="s">
        <v>19</v>
      </c>
      <c r="B30" s="1005">
        <f>SUM(B23:B29)</f>
        <v>0.24035001</v>
      </c>
      <c r="C30" s="1005">
        <f>SUM(C23:C29)</f>
        <v>0.23796449</v>
      </c>
      <c r="D30" s="1005">
        <f t="shared" ref="D30:E30" si="0">SUM(D23:D29)</f>
        <v>0.23796449</v>
      </c>
      <c r="E30" s="1005">
        <f t="shared" si="0"/>
        <v>0.24</v>
      </c>
      <c r="F30" s="1005">
        <f>SUM(F23:F29)</f>
        <v>0.24035001</v>
      </c>
    </row>
    <row r="31" spans="1:6" ht="15" customHeight="1" x14ac:dyDescent="0.3">
      <c r="A31" s="328"/>
      <c r="B31" s="1006"/>
      <c r="C31" s="1007"/>
      <c r="D31" s="1006"/>
      <c r="E31" s="1007"/>
      <c r="F31" s="1006"/>
    </row>
    <row r="32" spans="1:6" ht="15" customHeight="1" x14ac:dyDescent="0.3">
      <c r="A32" s="329" t="s">
        <v>20</v>
      </c>
      <c r="B32" s="1008"/>
      <c r="C32" s="1009"/>
      <c r="D32" s="1008"/>
      <c r="E32" s="1009"/>
      <c r="F32" s="1008"/>
    </row>
    <row r="33" spans="1:8" ht="15" customHeight="1" x14ac:dyDescent="0.3">
      <c r="A33" s="306" t="s">
        <v>21</v>
      </c>
      <c r="B33" s="1008">
        <v>0</v>
      </c>
      <c r="C33" s="1008">
        <v>0</v>
      </c>
      <c r="D33" s="1010">
        <v>0</v>
      </c>
      <c r="E33" s="1009">
        <v>0</v>
      </c>
      <c r="F33" s="385">
        <v>2.3771700000000001E-3</v>
      </c>
    </row>
    <row r="34" spans="1:8" ht="15" customHeight="1" x14ac:dyDescent="0.3">
      <c r="A34" s="306" t="s">
        <v>22</v>
      </c>
      <c r="B34" s="1377">
        <f>(11894.1-7732.81)/1000000</f>
        <v>4.1612899999999998E-3</v>
      </c>
      <c r="C34" s="1008">
        <v>0</v>
      </c>
      <c r="D34" s="1010">
        <v>0.03</v>
      </c>
      <c r="E34" s="1008">
        <v>0.03</v>
      </c>
      <c r="F34" s="1008">
        <v>2.1974629999999992E-2</v>
      </c>
    </row>
    <row r="35" spans="1:8" ht="15" customHeight="1" x14ac:dyDescent="0.3">
      <c r="A35" s="306" t="s">
        <v>23</v>
      </c>
      <c r="B35" s="1377">
        <f>(101967.08-101243.01)/1000000</f>
        <v>7.2407000000000699E-4</v>
      </c>
      <c r="C35" s="1008">
        <v>8.5174999999999997E-4</v>
      </c>
      <c r="D35" s="1009">
        <v>0.01</v>
      </c>
      <c r="E35" s="1009">
        <v>0.01</v>
      </c>
      <c r="F35" s="1008">
        <v>6.862600000000006E-3</v>
      </c>
    </row>
    <row r="36" spans="1:8" ht="15" customHeight="1" x14ac:dyDescent="0.3">
      <c r="A36" s="306" t="s">
        <v>24</v>
      </c>
      <c r="B36" s="1378">
        <f>(84401.66-76132.46)/1000000</f>
        <v>8.2691999999999974E-3</v>
      </c>
      <c r="C36" s="1008">
        <v>0.01</v>
      </c>
      <c r="D36" s="1009">
        <v>0</v>
      </c>
      <c r="E36" s="1009">
        <v>0</v>
      </c>
      <c r="F36" s="1008">
        <v>0</v>
      </c>
    </row>
    <row r="37" spans="1:8" ht="15" customHeight="1" x14ac:dyDescent="0.3">
      <c r="A37" s="306" t="s">
        <v>25</v>
      </c>
      <c r="B37" s="1378">
        <v>0</v>
      </c>
      <c r="C37" s="1008">
        <v>0</v>
      </c>
      <c r="D37" s="1010">
        <v>0</v>
      </c>
      <c r="E37" s="1009">
        <v>0</v>
      </c>
      <c r="F37" s="1008">
        <v>0</v>
      </c>
    </row>
    <row r="38" spans="1:8" ht="15" customHeight="1" x14ac:dyDescent="0.3">
      <c r="A38" s="307" t="s">
        <v>26</v>
      </c>
      <c r="B38" s="1379">
        <v>0</v>
      </c>
      <c r="C38" s="1011">
        <v>0</v>
      </c>
      <c r="D38" s="1012">
        <v>0</v>
      </c>
      <c r="E38" s="1013">
        <v>0</v>
      </c>
      <c r="F38" s="1011">
        <v>0</v>
      </c>
    </row>
    <row r="39" spans="1:8" ht="15" customHeight="1" x14ac:dyDescent="0.3">
      <c r="A39" s="327" t="s">
        <v>27</v>
      </c>
      <c r="B39" s="1005">
        <f>SUM(B33:B38)</f>
        <v>1.3154560000000004E-2</v>
      </c>
      <c r="C39" s="1005">
        <f>SUM(C33:C38)</f>
        <v>1.085175E-2</v>
      </c>
      <c r="D39" s="1005">
        <f t="shared" ref="D39:E39" si="1">SUM(D33:D38)</f>
        <v>0.04</v>
      </c>
      <c r="E39" s="1005">
        <f t="shared" si="1"/>
        <v>0.04</v>
      </c>
      <c r="F39" s="1005">
        <f>SUM(F33:F38)</f>
        <v>3.12144E-2</v>
      </c>
    </row>
    <row r="40" spans="1:8" ht="15" customHeight="1" x14ac:dyDescent="0.3">
      <c r="A40" s="330"/>
      <c r="B40" s="1014"/>
      <c r="C40" s="1015"/>
      <c r="D40" s="1014"/>
      <c r="E40" s="1015"/>
      <c r="F40" s="1014"/>
    </row>
    <row r="41" spans="1:8" ht="15" customHeight="1" x14ac:dyDescent="0.3">
      <c r="A41" s="322" t="s">
        <v>28</v>
      </c>
      <c r="B41" s="1000">
        <v>7.2240579999999985E-2</v>
      </c>
      <c r="C41" s="1002">
        <v>6.183441999999998E-2</v>
      </c>
      <c r="D41" s="1000">
        <v>5.142826000000001E-2</v>
      </c>
      <c r="E41" s="1002">
        <v>0.04</v>
      </c>
      <c r="F41" s="1000">
        <v>3.0615940000000001E-2</v>
      </c>
      <c r="H41" s="822"/>
    </row>
    <row r="42" spans="1:8" ht="15" customHeight="1" x14ac:dyDescent="0.3">
      <c r="A42" s="331"/>
      <c r="B42" s="1011"/>
      <c r="C42" s="1013"/>
      <c r="D42" s="1011"/>
      <c r="E42" s="1013"/>
      <c r="F42" s="1011"/>
    </row>
    <row r="43" spans="1:8" ht="15" customHeight="1" x14ac:dyDescent="0.3">
      <c r="A43" s="327" t="s">
        <v>29</v>
      </c>
      <c r="B43" s="1005">
        <f>B20+B30+B39+B41</f>
        <v>0.85010792000000002</v>
      </c>
      <c r="C43" s="1005">
        <f t="shared" ref="C43:F43" si="2">C20+C30+C39+C41</f>
        <v>0.66925484000000002</v>
      </c>
      <c r="D43" s="1005">
        <f>D20+D30+D39+D41</f>
        <v>1.3581406699999998</v>
      </c>
      <c r="E43" s="1005">
        <f>E20+E30+E39+E41</f>
        <v>1.1400000000000001</v>
      </c>
      <c r="F43" s="1005">
        <f t="shared" si="2"/>
        <v>0.79746684999999995</v>
      </c>
    </row>
    <row r="44" spans="1:8" ht="15" customHeight="1" x14ac:dyDescent="0.3">
      <c r="A44" s="332"/>
      <c r="B44" s="1016"/>
      <c r="C44" s="1017"/>
      <c r="D44" s="1016"/>
      <c r="E44" s="1017"/>
      <c r="F44" s="1016"/>
    </row>
    <row r="45" spans="1:8" ht="15" customHeight="1" x14ac:dyDescent="0.3">
      <c r="A45" s="322" t="s">
        <v>30</v>
      </c>
      <c r="B45" s="1008"/>
      <c r="C45" s="1009"/>
      <c r="D45" s="1008"/>
      <c r="E45" s="1009"/>
      <c r="F45" s="1008"/>
    </row>
    <row r="46" spans="1:8" ht="15" customHeight="1" x14ac:dyDescent="0.3">
      <c r="A46" s="333"/>
      <c r="B46" s="1008"/>
      <c r="C46" s="1009"/>
      <c r="D46" s="1008"/>
      <c r="E46" s="1009"/>
      <c r="F46" s="1008"/>
    </row>
    <row r="47" spans="1:8" ht="15" customHeight="1" x14ac:dyDescent="0.3">
      <c r="A47" s="322" t="s">
        <v>31</v>
      </c>
      <c r="B47" s="1000"/>
      <c r="C47" s="1002"/>
      <c r="D47" s="1000"/>
      <c r="E47" s="1002"/>
      <c r="F47" s="1000"/>
    </row>
    <row r="48" spans="1:8" ht="15" customHeight="1" x14ac:dyDescent="0.3">
      <c r="A48" s="306" t="s">
        <v>32</v>
      </c>
      <c r="B48" s="1008">
        <v>6.6482320000000011E-2</v>
      </c>
      <c r="C48" s="1009">
        <v>6.5039429999999995E-2</v>
      </c>
      <c r="D48" s="1008">
        <v>6.5039429999999995E-2</v>
      </c>
      <c r="E48" s="1009">
        <v>0.05</v>
      </c>
      <c r="F48" s="1008">
        <v>9.3461580000000002E-2</v>
      </c>
    </row>
    <row r="49" spans="1:8" ht="15" customHeight="1" x14ac:dyDescent="0.3">
      <c r="A49" s="334" t="s">
        <v>50</v>
      </c>
      <c r="B49" s="1008">
        <v>0</v>
      </c>
      <c r="C49" s="1009">
        <v>0</v>
      </c>
      <c r="D49" s="1008">
        <v>0</v>
      </c>
      <c r="E49" s="1009">
        <v>0</v>
      </c>
      <c r="F49" s="1008">
        <v>0</v>
      </c>
    </row>
    <row r="50" spans="1:8" ht="15" customHeight="1" x14ac:dyDescent="0.3">
      <c r="A50" s="334" t="s">
        <v>168</v>
      </c>
      <c r="B50" s="1008">
        <v>0</v>
      </c>
      <c r="C50" s="1009">
        <v>0</v>
      </c>
      <c r="D50" s="1008">
        <v>0</v>
      </c>
      <c r="E50" s="1009">
        <v>0</v>
      </c>
      <c r="F50" s="1008">
        <v>0</v>
      </c>
    </row>
    <row r="51" spans="1:8" ht="15" customHeight="1" x14ac:dyDescent="0.3">
      <c r="A51" s="334" t="s">
        <v>109</v>
      </c>
      <c r="B51" s="1008">
        <v>0</v>
      </c>
      <c r="C51" s="1009">
        <v>0</v>
      </c>
      <c r="D51" s="1008">
        <v>0</v>
      </c>
      <c r="E51" s="1009">
        <v>0</v>
      </c>
      <c r="F51" s="1008">
        <v>0</v>
      </c>
    </row>
    <row r="52" spans="1:8" ht="15" customHeight="1" x14ac:dyDescent="0.3">
      <c r="A52" s="334" t="s">
        <v>33</v>
      </c>
      <c r="B52" s="1008">
        <v>0</v>
      </c>
      <c r="C52" s="1009">
        <v>0</v>
      </c>
      <c r="D52" s="1008">
        <v>0</v>
      </c>
      <c r="E52" s="1009">
        <v>0</v>
      </c>
      <c r="F52" s="1008">
        <v>0</v>
      </c>
    </row>
    <row r="53" spans="1:8" ht="15" customHeight="1" x14ac:dyDescent="0.3">
      <c r="A53" s="334" t="s">
        <v>34</v>
      </c>
      <c r="B53" s="1008">
        <v>0</v>
      </c>
      <c r="C53" s="1009">
        <v>0</v>
      </c>
      <c r="D53" s="1008">
        <v>0</v>
      </c>
      <c r="E53" s="1009">
        <v>0</v>
      </c>
      <c r="F53" s="1008">
        <v>0</v>
      </c>
    </row>
    <row r="54" spans="1:8" ht="15" customHeight="1" x14ac:dyDescent="0.3">
      <c r="A54" s="306" t="s">
        <v>35</v>
      </c>
      <c r="B54" s="1008">
        <v>0</v>
      </c>
      <c r="C54" s="1009">
        <v>0</v>
      </c>
      <c r="D54" s="1008">
        <v>0</v>
      </c>
      <c r="E54" s="1009">
        <v>0</v>
      </c>
      <c r="F54" s="1008">
        <v>0</v>
      </c>
    </row>
    <row r="55" spans="1:8" ht="15" customHeight="1" x14ac:dyDescent="0.3">
      <c r="A55" s="306" t="s">
        <v>36</v>
      </c>
      <c r="B55" s="1008">
        <v>0</v>
      </c>
      <c r="C55" s="1009">
        <v>0</v>
      </c>
      <c r="D55" s="1008">
        <v>0</v>
      </c>
      <c r="E55" s="1009">
        <v>0</v>
      </c>
      <c r="F55" s="1008">
        <v>0</v>
      </c>
    </row>
    <row r="56" spans="1:8" ht="15" customHeight="1" x14ac:dyDescent="0.3">
      <c r="A56" s="307" t="s">
        <v>37</v>
      </c>
      <c r="B56" s="1011">
        <v>0</v>
      </c>
      <c r="C56" s="1013">
        <v>-0.21949223999999998</v>
      </c>
      <c r="D56" s="1011">
        <v>0.43898452000000004</v>
      </c>
      <c r="E56" s="1013">
        <v>0.22</v>
      </c>
      <c r="F56" s="1011">
        <v>0</v>
      </c>
    </row>
    <row r="57" spans="1:8" ht="15" customHeight="1" x14ac:dyDescent="0.3">
      <c r="A57" s="327" t="s">
        <v>38</v>
      </c>
      <c r="B57" s="1005">
        <f>SUM(B48:B56)</f>
        <v>6.6482320000000011E-2</v>
      </c>
      <c r="C57" s="1005">
        <f t="shared" ref="C57:E57" si="3">SUM(C48:C56)</f>
        <v>-0.15445281</v>
      </c>
      <c r="D57" s="1005">
        <f>SUM(D48:D56)</f>
        <v>0.50402395</v>
      </c>
      <c r="E57" s="1005">
        <f t="shared" si="3"/>
        <v>0.27</v>
      </c>
      <c r="F57" s="1005">
        <f>SUM(F48:F56)</f>
        <v>9.3461580000000002E-2</v>
      </c>
    </row>
    <row r="58" spans="1:8" ht="15" customHeight="1" x14ac:dyDescent="0.3">
      <c r="A58" s="335"/>
      <c r="B58" s="1006"/>
      <c r="C58" s="1007"/>
      <c r="D58" s="1006"/>
      <c r="E58" s="1007"/>
      <c r="F58" s="1006"/>
    </row>
    <row r="59" spans="1:8" ht="15" customHeight="1" x14ac:dyDescent="0.3">
      <c r="A59" s="322" t="s">
        <v>39</v>
      </c>
      <c r="B59" s="1008"/>
      <c r="C59" s="1009"/>
      <c r="D59" s="1008"/>
      <c r="E59" s="1009"/>
      <c r="F59" s="1008"/>
    </row>
    <row r="60" spans="1:8" ht="15" customHeight="1" x14ac:dyDescent="0.3">
      <c r="A60" s="306" t="s">
        <v>117</v>
      </c>
      <c r="B60" s="1008">
        <v>0</v>
      </c>
      <c r="C60" s="1009">
        <v>0</v>
      </c>
      <c r="D60" s="1008">
        <v>0</v>
      </c>
      <c r="E60" s="1009">
        <v>0</v>
      </c>
      <c r="F60" s="1008">
        <v>0</v>
      </c>
    </row>
    <row r="61" spans="1:8" ht="15" customHeight="1" x14ac:dyDescent="0.3">
      <c r="A61" s="306" t="s">
        <v>40</v>
      </c>
      <c r="B61" s="1008">
        <v>8.4867539999999991E-2</v>
      </c>
      <c r="C61" s="1009">
        <v>7.4304149999999999E-2</v>
      </c>
      <c r="D61" s="1008">
        <v>6.5019569999999999E-2</v>
      </c>
      <c r="E61" s="1380">
        <f>55734.99/1000000</f>
        <v>5.5734989999999998E-2</v>
      </c>
      <c r="F61" s="1008">
        <v>4.6450410000000004E-2</v>
      </c>
    </row>
    <row r="62" spans="1:8" ht="15" customHeight="1" x14ac:dyDescent="0.3">
      <c r="A62" s="308"/>
      <c r="B62" s="1011"/>
      <c r="C62" s="1013"/>
      <c r="D62" s="1011"/>
      <c r="E62" s="1013"/>
      <c r="F62" s="1011"/>
    </row>
    <row r="63" spans="1:8" ht="15" customHeight="1" x14ac:dyDescent="0.3">
      <c r="A63" s="327" t="s">
        <v>41</v>
      </c>
      <c r="B63" s="1005">
        <f>SUM(B60:B62)</f>
        <v>8.4867539999999991E-2</v>
      </c>
      <c r="C63" s="1005">
        <f t="shared" ref="C63:F63" si="4">SUM(C60:C62)</f>
        <v>7.4304149999999999E-2</v>
      </c>
      <c r="D63" s="1005">
        <f>SUM(D60:D62)</f>
        <v>6.5019569999999999E-2</v>
      </c>
      <c r="E63" s="1005">
        <f t="shared" si="4"/>
        <v>5.5734989999999998E-2</v>
      </c>
      <c r="F63" s="1005">
        <f t="shared" si="4"/>
        <v>4.6450410000000004E-2</v>
      </c>
      <c r="H63" s="48"/>
    </row>
    <row r="64" spans="1:8" ht="15" customHeight="1" x14ac:dyDescent="0.3">
      <c r="A64" s="335"/>
      <c r="B64" s="1006"/>
      <c r="C64" s="1007"/>
      <c r="D64" s="1006"/>
      <c r="E64" s="1007"/>
      <c r="F64" s="1006"/>
    </row>
    <row r="65" spans="1:9" ht="15" customHeight="1" x14ac:dyDescent="0.3">
      <c r="A65" s="322" t="s">
        <v>42</v>
      </c>
      <c r="B65" s="1008"/>
      <c r="C65" s="1009"/>
      <c r="D65" s="1008"/>
      <c r="E65" s="1009"/>
      <c r="F65" s="1008"/>
    </row>
    <row r="66" spans="1:9" ht="15" customHeight="1" x14ac:dyDescent="0.3">
      <c r="A66" s="306" t="s">
        <v>43</v>
      </c>
      <c r="B66" s="1008">
        <v>0.69875806000000007</v>
      </c>
      <c r="C66" s="1009">
        <v>0.69431745999999994</v>
      </c>
      <c r="D66" s="1008">
        <v>0.69431745999999994</v>
      </c>
      <c r="E66" s="1009">
        <v>0.69431745999999994</v>
      </c>
      <c r="F66" s="1008">
        <v>0.67630299999999999</v>
      </c>
    </row>
    <row r="67" spans="1:9" ht="15" customHeight="1" x14ac:dyDescent="0.3">
      <c r="A67" s="306" t="s">
        <v>44</v>
      </c>
      <c r="B67" s="1008">
        <v>0</v>
      </c>
      <c r="C67" s="1009">
        <v>0</v>
      </c>
      <c r="D67" s="1008">
        <v>0</v>
      </c>
      <c r="E67" s="1009">
        <v>0</v>
      </c>
      <c r="F67" s="1008">
        <v>0</v>
      </c>
      <c r="I67" s="48"/>
    </row>
    <row r="68" spans="1:9" ht="15" customHeight="1" x14ac:dyDescent="0.3">
      <c r="A68" s="306" t="s">
        <v>45</v>
      </c>
      <c r="B68" s="1008">
        <v>0</v>
      </c>
      <c r="C68" s="1009">
        <v>0</v>
      </c>
      <c r="D68" s="1008">
        <v>0</v>
      </c>
      <c r="E68" s="1009">
        <v>0</v>
      </c>
      <c r="F68" s="1008">
        <v>0</v>
      </c>
    </row>
    <row r="69" spans="1:9" ht="15" customHeight="1" x14ac:dyDescent="0.3">
      <c r="A69" s="307" t="s">
        <v>46</v>
      </c>
      <c r="B69" s="1011">
        <v>0</v>
      </c>
      <c r="C69" s="1018">
        <v>5.977437E-2</v>
      </c>
      <c r="D69" s="1019">
        <v>9.4922140000000002E-2</v>
      </c>
      <c r="E69" s="1009">
        <v>0.12275115</v>
      </c>
      <c r="F69" s="1019">
        <v>-1.874814E-2</v>
      </c>
    </row>
    <row r="70" spans="1:9" ht="15" customHeight="1" x14ac:dyDescent="0.3">
      <c r="A70" s="327" t="s">
        <v>47</v>
      </c>
      <c r="B70" s="1005">
        <f>SUM(B66:B69)</f>
        <v>0.69875806000000007</v>
      </c>
      <c r="C70" s="1005">
        <f>SUM(C66:C69)</f>
        <v>0.75409182999999991</v>
      </c>
      <c r="D70" s="1005">
        <f>SUM(D66:D69)</f>
        <v>0.78923959999999993</v>
      </c>
      <c r="E70" s="1005">
        <f t="shared" ref="E70:F70" si="5">SUM(E66:E69)</f>
        <v>0.81706860999999997</v>
      </c>
      <c r="F70" s="1005">
        <f t="shared" si="5"/>
        <v>0.65755485999999996</v>
      </c>
    </row>
    <row r="71" spans="1:9" ht="15.75" customHeight="1" x14ac:dyDescent="0.3">
      <c r="A71" s="336"/>
      <c r="B71" s="1020"/>
      <c r="C71" s="1021"/>
      <c r="D71" s="1020"/>
      <c r="E71" s="1021"/>
      <c r="F71" s="1020"/>
    </row>
    <row r="72" spans="1:9" ht="16.5" customHeight="1" thickBot="1" x14ac:dyDescent="0.35">
      <c r="A72" s="337" t="s">
        <v>48</v>
      </c>
      <c r="B72" s="1022">
        <f>B70+B63+B57</f>
        <v>0.85010792000000002</v>
      </c>
      <c r="C72" s="1022">
        <f>C70+C63+C57</f>
        <v>0.67394316999999992</v>
      </c>
      <c r="D72" s="1022">
        <f>D70+D63+D57</f>
        <v>1.3582831199999998</v>
      </c>
      <c r="E72" s="1022">
        <f>E70+E63+E57</f>
        <v>1.1428036000000001</v>
      </c>
      <c r="F72" s="1022">
        <f t="shared" ref="F72" si="6">F70+F63+F57</f>
        <v>0.79746685000000006</v>
      </c>
    </row>
  </sheetData>
  <sheetProtection algorithmName="SHA-512" hashValue="AoPg8gDx2wQXx+lkLMn2MSPtrdakrN7pJX/neAsTJzi44Yec4B5ZkPlvSD2g2d7oduUHmFX8KCZS9lIct6WSAQ==" saltValue="5MJhG146fGbCvsHz+aH+6A==" spinCount="100000" sheet="1" objects="1" scenarios="1"/>
  <mergeCells count="6">
    <mergeCell ref="A7:F7"/>
    <mergeCell ref="A1:F1"/>
    <mergeCell ref="A3:F3"/>
    <mergeCell ref="A4:F4"/>
    <mergeCell ref="A5:F5"/>
    <mergeCell ref="A6:F6"/>
  </mergeCells>
  <pageMargins left="0.7" right="0.7" top="0.75" bottom="0.75" header="0.3" footer="0.3"/>
  <pageSetup scale="60" fitToHeight="0" orientation="portrait" horizontalDpi="300" verticalDpi="300"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59999389629810485"/>
    <pageSetUpPr fitToPage="1"/>
  </sheetPr>
  <dimension ref="A1:AG85"/>
  <sheetViews>
    <sheetView zoomScale="60" zoomScaleNormal="60" workbookViewId="0">
      <pane xSplit="1" ySplit="11" topLeftCell="P52" activePane="bottomRight" state="frozen"/>
      <selection pane="topRight" activeCell="B1" sqref="B1"/>
      <selection pane="bottomLeft" activeCell="A12" sqref="A12"/>
      <selection pane="bottomRight" activeCell="AB76" sqref="AB76"/>
    </sheetView>
  </sheetViews>
  <sheetFormatPr defaultRowHeight="18.75" x14ac:dyDescent="0.3"/>
  <cols>
    <col min="1" max="1" width="59.85546875" style="49" customWidth="1"/>
    <col min="2" max="3" width="14.140625" style="48" customWidth="1"/>
    <col min="4" max="4" width="13.140625" style="48" customWidth="1"/>
    <col min="5" max="5" width="11.7109375" style="352" customWidth="1"/>
    <col min="6" max="6" width="1" style="49" customWidth="1"/>
    <col min="7" max="7" width="14.5703125" style="48" customWidth="1"/>
    <col min="8" max="8" width="14.28515625" style="48" customWidth="1"/>
    <col min="9" max="9" width="12.140625" style="48" customWidth="1"/>
    <col min="10" max="10" width="12.85546875" style="352" customWidth="1"/>
    <col min="11" max="11" width="1.140625" style="49" customWidth="1"/>
    <col min="12" max="12" width="14" style="48" customWidth="1"/>
    <col min="13" max="13" width="14.140625" style="48" customWidth="1"/>
    <col min="14" max="14" width="12.85546875" style="48" customWidth="1"/>
    <col min="15" max="15" width="11.28515625" style="305" customWidth="1"/>
    <col min="16" max="16" width="1" style="49" customWidth="1"/>
    <col min="17" max="17" width="13.85546875" style="48" customWidth="1"/>
    <col min="18" max="18" width="13.140625" style="48" customWidth="1"/>
    <col min="19" max="19" width="12.85546875" style="48" customWidth="1"/>
    <col min="20" max="20" width="9.85546875" style="305" customWidth="1"/>
    <col min="21" max="21" width="1.28515625" style="49" customWidth="1"/>
    <col min="22" max="22" width="14.28515625" style="48" customWidth="1"/>
    <col min="23" max="23" width="14.140625" style="48" customWidth="1"/>
    <col min="24" max="24" width="13" style="48" customWidth="1"/>
    <col min="25" max="25" width="15.85546875" style="305" customWidth="1"/>
    <col min="26" max="26" width="1" style="49" customWidth="1"/>
    <col min="27" max="27" width="16.28515625" style="48" customWidth="1"/>
    <col min="28" max="28" width="14.5703125" style="48" customWidth="1"/>
    <col min="29" max="29" width="16.28515625" style="305" customWidth="1"/>
    <col min="30" max="30" width="1" style="49" customWidth="1"/>
    <col min="31" max="31" width="66.42578125" style="49" customWidth="1"/>
    <col min="32" max="16384" width="9.140625" style="49"/>
  </cols>
  <sheetData>
    <row r="1" spans="1:31" s="52" customFormat="1" x14ac:dyDescent="0.3">
      <c r="A1" s="1496" t="s">
        <v>49</v>
      </c>
      <c r="B1" s="1497"/>
      <c r="C1" s="1497"/>
      <c r="D1" s="1497"/>
      <c r="E1" s="1497"/>
      <c r="F1" s="1497"/>
      <c r="G1" s="1497"/>
      <c r="H1" s="1497"/>
      <c r="I1" s="584"/>
      <c r="J1" s="340"/>
      <c r="K1" s="114"/>
      <c r="L1" s="586"/>
      <c r="M1" s="586"/>
      <c r="N1" s="586"/>
      <c r="O1" s="116"/>
      <c r="P1" s="130"/>
      <c r="Q1" s="587"/>
      <c r="R1" s="588"/>
      <c r="S1" s="588"/>
      <c r="T1" s="119"/>
      <c r="U1" s="130"/>
      <c r="V1" s="590"/>
      <c r="W1" s="590"/>
      <c r="X1" s="590"/>
      <c r="Y1" s="132"/>
      <c r="Z1" s="130"/>
      <c r="AA1" s="585"/>
      <c r="AB1" s="585"/>
      <c r="AC1" s="132"/>
      <c r="AD1" s="130"/>
      <c r="AE1" s="133"/>
    </row>
    <row r="2" spans="1:31" s="52" customFormat="1" x14ac:dyDescent="0.3">
      <c r="A2" s="1496"/>
      <c r="B2" s="1497"/>
      <c r="C2" s="1497"/>
      <c r="D2" s="1497"/>
      <c r="E2" s="1497"/>
      <c r="F2" s="1497"/>
      <c r="G2" s="1497"/>
      <c r="H2" s="1497"/>
      <c r="I2" s="584"/>
      <c r="J2" s="340"/>
      <c r="K2" s="114"/>
      <c r="L2" s="586"/>
      <c r="M2" s="586"/>
      <c r="N2" s="586"/>
      <c r="O2" s="116"/>
      <c r="P2" s="130"/>
      <c r="Q2" s="587"/>
      <c r="R2" s="588"/>
      <c r="S2" s="588"/>
      <c r="T2" s="119"/>
      <c r="U2" s="130"/>
      <c r="V2" s="590"/>
      <c r="W2" s="590"/>
      <c r="X2" s="590"/>
      <c r="Y2" s="132"/>
      <c r="Z2" s="130"/>
      <c r="AA2" s="585"/>
      <c r="AB2" s="585"/>
      <c r="AC2" s="132"/>
      <c r="AD2" s="130"/>
      <c r="AE2" s="133"/>
    </row>
    <row r="3" spans="1:31" s="52" customFormat="1" x14ac:dyDescent="0.3">
      <c r="A3" s="1433" t="s">
        <v>175</v>
      </c>
      <c r="B3" s="1434"/>
      <c r="C3" s="1434"/>
      <c r="D3" s="1434"/>
      <c r="E3" s="1434"/>
      <c r="F3" s="1434"/>
      <c r="G3" s="1434"/>
      <c r="H3" s="1434"/>
      <c r="I3" s="1118"/>
      <c r="J3" s="340"/>
      <c r="K3" s="114"/>
      <c r="L3" s="586"/>
      <c r="M3" s="586"/>
      <c r="N3" s="586"/>
      <c r="O3" s="116"/>
      <c r="P3" s="130"/>
      <c r="Q3" s="587"/>
      <c r="R3" s="588"/>
      <c r="S3" s="588"/>
      <c r="T3" s="119"/>
      <c r="U3" s="130"/>
      <c r="V3" s="590"/>
      <c r="W3" s="590"/>
      <c r="X3" s="590"/>
      <c r="Y3" s="132"/>
      <c r="Z3" s="130"/>
      <c r="AA3" s="585"/>
      <c r="AB3" s="585"/>
      <c r="AC3" s="132"/>
      <c r="AD3" s="130"/>
      <c r="AE3" s="133"/>
    </row>
    <row r="4" spans="1:31" s="52" customFormat="1" x14ac:dyDescent="0.3">
      <c r="A4" s="1496" t="s">
        <v>51</v>
      </c>
      <c r="B4" s="1497"/>
      <c r="C4" s="1497"/>
      <c r="D4" s="1497"/>
      <c r="E4" s="1497"/>
      <c r="F4" s="1497"/>
      <c r="G4" s="1497"/>
      <c r="H4" s="1497"/>
      <c r="I4" s="584"/>
      <c r="J4" s="340"/>
      <c r="K4" s="114"/>
      <c r="L4" s="586"/>
      <c r="M4" s="586"/>
      <c r="N4" s="586"/>
      <c r="O4" s="116"/>
      <c r="P4" s="130"/>
      <c r="Q4" s="587"/>
      <c r="R4" s="588"/>
      <c r="S4" s="588"/>
      <c r="T4" s="119"/>
      <c r="U4" s="130"/>
      <c r="V4" s="590"/>
      <c r="W4" s="590"/>
      <c r="X4" s="590"/>
      <c r="Y4" s="132"/>
      <c r="Z4" s="130"/>
      <c r="AA4" s="585"/>
      <c r="AB4" s="585"/>
      <c r="AC4" s="132"/>
      <c r="AD4" s="130"/>
      <c r="AE4" s="133"/>
    </row>
    <row r="5" spans="1:31" s="52" customFormat="1" x14ac:dyDescent="0.3">
      <c r="A5" s="1496" t="s">
        <v>52</v>
      </c>
      <c r="B5" s="1497"/>
      <c r="C5" s="1497"/>
      <c r="D5" s="1497"/>
      <c r="E5" s="1497"/>
      <c r="F5" s="1497"/>
      <c r="G5" s="1497"/>
      <c r="H5" s="1497"/>
      <c r="I5" s="584"/>
      <c r="J5" s="340"/>
      <c r="K5" s="114"/>
      <c r="L5" s="586"/>
      <c r="M5" s="586"/>
      <c r="N5" s="586"/>
      <c r="O5" s="116"/>
      <c r="P5" s="130"/>
      <c r="Q5" s="587"/>
      <c r="R5" s="588"/>
      <c r="S5" s="588"/>
      <c r="T5" s="119"/>
      <c r="U5" s="130"/>
      <c r="V5" s="590"/>
      <c r="W5" s="590"/>
      <c r="X5" s="590"/>
      <c r="Y5" s="132"/>
      <c r="Z5" s="130"/>
      <c r="AA5" s="585"/>
      <c r="AB5" s="585"/>
      <c r="AC5" s="132"/>
      <c r="AD5" s="130"/>
      <c r="AE5" s="133"/>
    </row>
    <row r="6" spans="1:31" s="52" customFormat="1" x14ac:dyDescent="0.3">
      <c r="A6" s="1433" t="s">
        <v>194</v>
      </c>
      <c r="B6" s="1434"/>
      <c r="C6" s="1434"/>
      <c r="D6" s="1434"/>
      <c r="E6" s="1434"/>
      <c r="F6" s="1434"/>
      <c r="G6" s="1434"/>
      <c r="H6" s="1434"/>
      <c r="I6" s="584"/>
      <c r="J6" s="340"/>
      <c r="K6" s="114"/>
      <c r="L6" s="586"/>
      <c r="M6" s="586"/>
      <c r="N6" s="586"/>
      <c r="O6" s="116"/>
      <c r="P6" s="130"/>
      <c r="Q6" s="587"/>
      <c r="R6" s="588"/>
      <c r="S6" s="588"/>
      <c r="T6" s="119"/>
      <c r="U6" s="130"/>
      <c r="V6" s="590"/>
      <c r="W6" s="590"/>
      <c r="X6" s="590"/>
      <c r="Y6" s="132"/>
      <c r="Z6" s="130"/>
      <c r="AA6" s="590"/>
      <c r="AB6" s="590"/>
      <c r="AC6" s="132"/>
      <c r="AD6" s="130"/>
      <c r="AE6" s="133"/>
    </row>
    <row r="7" spans="1:31" s="52" customFormat="1" x14ac:dyDescent="0.3">
      <c r="A7" s="1429" t="s">
        <v>2</v>
      </c>
      <c r="B7" s="1430"/>
      <c r="C7" s="1430"/>
      <c r="D7" s="1430"/>
      <c r="E7" s="1430"/>
      <c r="F7" s="1430"/>
      <c r="G7" s="1430"/>
      <c r="H7" s="1430"/>
      <c r="I7" s="584"/>
      <c r="J7" s="340"/>
      <c r="K7" s="114"/>
      <c r="L7" s="586"/>
      <c r="M7" s="586"/>
      <c r="N7" s="586"/>
      <c r="O7" s="116"/>
      <c r="P7" s="130"/>
      <c r="Q7" s="587"/>
      <c r="R7" s="588"/>
      <c r="S7" s="588"/>
      <c r="T7" s="119"/>
      <c r="U7" s="130"/>
      <c r="V7" s="590"/>
      <c r="W7" s="590"/>
      <c r="X7" s="590"/>
      <c r="Y7" s="132"/>
      <c r="Z7" s="130"/>
      <c r="AA7" s="590"/>
      <c r="AB7" s="590"/>
      <c r="AC7" s="132"/>
      <c r="AD7" s="130"/>
      <c r="AE7" s="133"/>
    </row>
    <row r="8" spans="1:31" ht="19.5" thickBot="1" x14ac:dyDescent="0.35">
      <c r="A8" s="1483" t="s">
        <v>173</v>
      </c>
      <c r="B8" s="1484"/>
      <c r="C8" s="1484"/>
      <c r="D8" s="1484"/>
      <c r="E8" s="1484"/>
      <c r="F8" s="1484"/>
      <c r="G8" s="1484"/>
      <c r="H8" s="1484"/>
      <c r="I8" s="589"/>
      <c r="J8" s="341"/>
      <c r="K8" s="138"/>
      <c r="L8" s="589"/>
      <c r="M8" s="589"/>
      <c r="N8" s="589"/>
      <c r="O8" s="128"/>
      <c r="P8" s="138"/>
      <c r="Q8" s="589"/>
      <c r="R8" s="589"/>
      <c r="S8" s="589"/>
      <c r="T8" s="128"/>
      <c r="U8" s="138"/>
      <c r="V8" s="589"/>
      <c r="W8" s="589"/>
      <c r="X8" s="589"/>
      <c r="Y8" s="128"/>
      <c r="Z8" s="138"/>
      <c r="AA8" s="589"/>
      <c r="AB8" s="589"/>
      <c r="AC8" s="128"/>
      <c r="AD8" s="138"/>
      <c r="AE8" s="139"/>
    </row>
    <row r="9" spans="1:31" ht="18.75" customHeight="1" x14ac:dyDescent="0.3">
      <c r="A9" s="140"/>
      <c r="B9" s="1446" t="s">
        <v>53</v>
      </c>
      <c r="C9" s="1447"/>
      <c r="D9" s="1448"/>
      <c r="E9" s="1449"/>
      <c r="F9" s="141"/>
      <c r="G9" s="1488" t="s">
        <v>54</v>
      </c>
      <c r="H9" s="1489"/>
      <c r="I9" s="1489"/>
      <c r="J9" s="1490"/>
      <c r="K9" s="141"/>
      <c r="L9" s="1491" t="s">
        <v>55</v>
      </c>
      <c r="M9" s="1492"/>
      <c r="N9" s="1492"/>
      <c r="O9" s="1493"/>
      <c r="P9" s="141"/>
      <c r="Q9" s="1454" t="s">
        <v>56</v>
      </c>
      <c r="R9" s="1476"/>
      <c r="S9" s="1476"/>
      <c r="T9" s="1494"/>
      <c r="U9" s="141"/>
      <c r="V9" s="1455" t="s">
        <v>57</v>
      </c>
      <c r="W9" s="1477"/>
      <c r="X9" s="1477"/>
      <c r="Y9" s="1495"/>
      <c r="Z9" s="141"/>
      <c r="AA9" s="1455" t="s">
        <v>196</v>
      </c>
      <c r="AB9" s="1477"/>
      <c r="AC9" s="1495"/>
      <c r="AD9" s="142"/>
      <c r="AE9" s="1439" t="s">
        <v>58</v>
      </c>
    </row>
    <row r="10" spans="1:31" ht="37.5" customHeight="1" x14ac:dyDescent="0.3">
      <c r="A10" s="143" t="s">
        <v>59</v>
      </c>
      <c r="B10" s="591" t="s">
        <v>60</v>
      </c>
      <c r="C10" s="591" t="s">
        <v>61</v>
      </c>
      <c r="D10" s="1441" t="s">
        <v>62</v>
      </c>
      <c r="E10" s="1442"/>
      <c r="F10" s="145"/>
      <c r="G10" s="591" t="s">
        <v>60</v>
      </c>
      <c r="H10" s="591" t="s">
        <v>61</v>
      </c>
      <c r="I10" s="1443" t="s">
        <v>62</v>
      </c>
      <c r="J10" s="1486"/>
      <c r="K10" s="145"/>
      <c r="L10" s="591" t="s">
        <v>60</v>
      </c>
      <c r="M10" s="591" t="s">
        <v>61</v>
      </c>
      <c r="N10" s="1443" t="s">
        <v>62</v>
      </c>
      <c r="O10" s="1486"/>
      <c r="P10" s="145"/>
      <c r="Q10" s="592" t="s">
        <v>60</v>
      </c>
      <c r="R10" s="593" t="s">
        <v>61</v>
      </c>
      <c r="S10" s="1445" t="s">
        <v>62</v>
      </c>
      <c r="T10" s="1487"/>
      <c r="U10" s="145"/>
      <c r="V10" s="592" t="s">
        <v>60</v>
      </c>
      <c r="W10" s="593" t="s">
        <v>61</v>
      </c>
      <c r="X10" s="1445" t="s">
        <v>62</v>
      </c>
      <c r="Y10" s="1487"/>
      <c r="Z10" s="145"/>
      <c r="AA10" s="594" t="s">
        <v>63</v>
      </c>
      <c r="AB10" s="1445" t="s">
        <v>64</v>
      </c>
      <c r="AC10" s="1487"/>
      <c r="AD10" s="149"/>
      <c r="AE10" s="1485"/>
    </row>
    <row r="11" spans="1:31" x14ac:dyDescent="0.3">
      <c r="A11" s="150"/>
      <c r="B11" s="595" t="s">
        <v>107</v>
      </c>
      <c r="C11" s="595" t="s">
        <v>107</v>
      </c>
      <c r="D11" s="596" t="s">
        <v>107</v>
      </c>
      <c r="E11" s="356" t="s">
        <v>65</v>
      </c>
      <c r="F11" s="154"/>
      <c r="G11" s="595" t="s">
        <v>107</v>
      </c>
      <c r="H11" s="595" t="s">
        <v>107</v>
      </c>
      <c r="I11" s="597" t="s">
        <v>107</v>
      </c>
      <c r="J11" s="342" t="s">
        <v>65</v>
      </c>
      <c r="K11" s="154"/>
      <c r="L11" s="595" t="s">
        <v>107</v>
      </c>
      <c r="M11" s="595" t="s">
        <v>107</v>
      </c>
      <c r="N11" s="597" t="s">
        <v>107</v>
      </c>
      <c r="O11" s="157" t="s">
        <v>65</v>
      </c>
      <c r="P11" s="154"/>
      <c r="Q11" s="598" t="s">
        <v>107</v>
      </c>
      <c r="R11" s="599" t="s">
        <v>107</v>
      </c>
      <c r="S11" s="600" t="s">
        <v>107</v>
      </c>
      <c r="T11" s="161" t="s">
        <v>65</v>
      </c>
      <c r="U11" s="154"/>
      <c r="V11" s="598" t="s">
        <v>107</v>
      </c>
      <c r="W11" s="599" t="s">
        <v>107</v>
      </c>
      <c r="X11" s="600" t="s">
        <v>107</v>
      </c>
      <c r="Y11" s="161" t="s">
        <v>65</v>
      </c>
      <c r="Z11" s="154"/>
      <c r="AA11" s="598" t="s">
        <v>107</v>
      </c>
      <c r="AB11" s="600" t="s">
        <v>107</v>
      </c>
      <c r="AC11" s="161" t="s">
        <v>65</v>
      </c>
      <c r="AD11" s="162"/>
      <c r="AE11" s="1485"/>
    </row>
    <row r="12" spans="1:31" x14ac:dyDescent="0.3">
      <c r="A12" s="163"/>
      <c r="B12" s="595"/>
      <c r="C12" s="595"/>
      <c r="D12" s="596"/>
      <c r="E12" s="1164"/>
      <c r="F12" s="154"/>
      <c r="G12" s="595"/>
      <c r="H12" s="595"/>
      <c r="I12" s="597"/>
      <c r="J12" s="342"/>
      <c r="K12" s="154"/>
      <c r="L12" s="595"/>
      <c r="M12" s="595"/>
      <c r="N12" s="597"/>
      <c r="O12" s="157"/>
      <c r="P12" s="154"/>
      <c r="Q12" s="596"/>
      <c r="R12" s="596"/>
      <c r="S12" s="596"/>
      <c r="T12" s="1165"/>
      <c r="U12" s="154"/>
      <c r="V12" s="596"/>
      <c r="W12" s="596"/>
      <c r="X12" s="596"/>
      <c r="Y12" s="1165"/>
      <c r="Z12" s="154"/>
      <c r="AA12" s="596"/>
      <c r="AB12" s="596"/>
      <c r="AC12" s="1165"/>
      <c r="AD12" s="167"/>
      <c r="AE12" s="171"/>
    </row>
    <row r="13" spans="1:31" x14ac:dyDescent="0.3">
      <c r="A13" s="172" t="s">
        <v>66</v>
      </c>
      <c r="B13" s="602"/>
      <c r="C13" s="602"/>
      <c r="D13" s="601"/>
      <c r="E13" s="601"/>
      <c r="F13" s="601"/>
      <c r="G13" s="601"/>
      <c r="H13" s="601"/>
      <c r="I13" s="601"/>
      <c r="J13" s="601"/>
      <c r="K13" s="601"/>
      <c r="L13" s="601"/>
      <c r="M13" s="601"/>
      <c r="N13" s="601"/>
      <c r="O13" s="601"/>
      <c r="P13" s="601"/>
      <c r="Q13" s="601"/>
      <c r="R13" s="601"/>
      <c r="S13" s="601"/>
      <c r="T13" s="601"/>
      <c r="U13" s="601"/>
      <c r="V13" s="601"/>
      <c r="W13" s="601"/>
      <c r="X13" s="601"/>
      <c r="Y13" s="601"/>
      <c r="Z13" s="601"/>
      <c r="AA13" s="601"/>
      <c r="AB13" s="601"/>
      <c r="AC13" s="601"/>
      <c r="AD13" s="175"/>
      <c r="AE13" s="180"/>
    </row>
    <row r="14" spans="1:31" x14ac:dyDescent="0.3">
      <c r="A14" s="181" t="s">
        <v>132</v>
      </c>
      <c r="B14" s="956">
        <v>0</v>
      </c>
      <c r="C14" s="957">
        <v>0</v>
      </c>
      <c r="D14" s="959">
        <f>C14-B14</f>
        <v>0</v>
      </c>
      <c r="E14" s="183" t="str">
        <f t="shared" ref="E14:E24" si="0">IF(ISERROR(D14/B13),"-",D14/B13)</f>
        <v>-</v>
      </c>
      <c r="F14" s="175"/>
      <c r="G14" s="962">
        <v>0</v>
      </c>
      <c r="H14" s="963">
        <v>0</v>
      </c>
      <c r="I14" s="959">
        <f>H14-G14</f>
        <v>0</v>
      </c>
      <c r="J14" s="183" t="str">
        <f t="shared" ref="J14" si="1">IF(ISERROR(I14/G14),"-",I14/G14)</f>
        <v>-</v>
      </c>
      <c r="K14" s="175"/>
      <c r="L14" s="962">
        <v>0</v>
      </c>
      <c r="M14" s="963">
        <v>0</v>
      </c>
      <c r="N14" s="959">
        <f>M14-L14</f>
        <v>0</v>
      </c>
      <c r="O14" s="185" t="str">
        <f t="shared" ref="O14" si="2">IF(ISERROR(N14/L14),"-",N14/L14)</f>
        <v>-</v>
      </c>
      <c r="P14" s="175"/>
      <c r="Q14" s="962">
        <v>0</v>
      </c>
      <c r="R14" s="963">
        <v>0</v>
      </c>
      <c r="S14" s="959">
        <f>R14-Q14</f>
        <v>0</v>
      </c>
      <c r="T14" s="185" t="str">
        <f t="shared" ref="T14:T29" si="3">IF(ISERROR(S14/Q14),"-",S14/Q14)</f>
        <v>-</v>
      </c>
      <c r="U14" s="177"/>
      <c r="V14" s="995">
        <f t="shared" ref="V14:W16" si="4">SUM(B14+G14+L14+Q14)</f>
        <v>0</v>
      </c>
      <c r="W14" s="995">
        <f t="shared" si="4"/>
        <v>0</v>
      </c>
      <c r="X14" s="959">
        <f>W14-V14</f>
        <v>0</v>
      </c>
      <c r="Y14" s="185" t="str">
        <f t="shared" ref="Y14" si="5">IF(ISERROR(X14/V14),"-",X14/V14)</f>
        <v>-</v>
      </c>
      <c r="Z14" s="179"/>
      <c r="AA14" s="963">
        <f>SUM(B14+G14+L14+Q14)</f>
        <v>0</v>
      </c>
      <c r="AB14" s="959">
        <f t="shared" ref="AB14:AB24" si="6">AA14-W14</f>
        <v>0</v>
      </c>
      <c r="AC14" s="185" t="str">
        <f t="shared" ref="AC14" si="7">IF(ISERROR(AB14/AA14),"-",AB14/AA14)</f>
        <v>-</v>
      </c>
      <c r="AD14" s="184"/>
      <c r="AE14" s="189"/>
    </row>
    <row r="15" spans="1:31" x14ac:dyDescent="0.3">
      <c r="A15" s="190" t="s">
        <v>111</v>
      </c>
      <c r="B15" s="956">
        <v>0</v>
      </c>
      <c r="C15" s="957">
        <v>0</v>
      </c>
      <c r="D15" s="959">
        <f>C15-B15</f>
        <v>0</v>
      </c>
      <c r="E15" s="183" t="str">
        <f t="shared" si="0"/>
        <v>-</v>
      </c>
      <c r="F15" s="184"/>
      <c r="G15" s="962">
        <v>0</v>
      </c>
      <c r="H15" s="963">
        <v>0</v>
      </c>
      <c r="I15" s="959">
        <f>H15-G15</f>
        <v>0</v>
      </c>
      <c r="J15" s="183" t="str">
        <f t="shared" ref="J15:J25" si="8">IF(ISERROR(I15/G15),"-",I15/G15)</f>
        <v>-</v>
      </c>
      <c r="K15" s="184"/>
      <c r="L15" s="962">
        <v>0</v>
      </c>
      <c r="M15" s="963">
        <v>0</v>
      </c>
      <c r="N15" s="959">
        <f>M15-L15</f>
        <v>0</v>
      </c>
      <c r="O15" s="185" t="str">
        <f t="shared" ref="O15:O24" si="9">IF(ISERROR(N15/L15),"-",N15/L15)</f>
        <v>-</v>
      </c>
      <c r="P15" s="184"/>
      <c r="Q15" s="962">
        <v>0</v>
      </c>
      <c r="R15" s="963">
        <v>0</v>
      </c>
      <c r="S15" s="959">
        <f>R15-Q15</f>
        <v>0</v>
      </c>
      <c r="T15" s="185" t="str">
        <f t="shared" si="3"/>
        <v>-</v>
      </c>
      <c r="U15" s="186"/>
      <c r="V15" s="995">
        <f t="shared" si="4"/>
        <v>0</v>
      </c>
      <c r="W15" s="995">
        <f t="shared" si="4"/>
        <v>0</v>
      </c>
      <c r="X15" s="959">
        <f>W15-V15</f>
        <v>0</v>
      </c>
      <c r="Y15" s="185" t="str">
        <f t="shared" ref="Y15:Y25" si="10">IF(ISERROR(X15/V15),"-",X15/V15)</f>
        <v>-</v>
      </c>
      <c r="Z15" s="188"/>
      <c r="AA15" s="963">
        <f>SUM(B14+G15+L15+Q15)</f>
        <v>0</v>
      </c>
      <c r="AB15" s="959">
        <f t="shared" si="6"/>
        <v>0</v>
      </c>
      <c r="AC15" s="185" t="str">
        <f t="shared" ref="AC15:AC25" si="11">IF(ISERROR(AB15/AA15),"-",AB15/AA15)</f>
        <v>-</v>
      </c>
      <c r="AD15" s="184"/>
      <c r="AE15" s="189"/>
    </row>
    <row r="16" spans="1:31" x14ac:dyDescent="0.3">
      <c r="A16" s="190" t="s">
        <v>69</v>
      </c>
      <c r="B16" s="956">
        <v>0</v>
      </c>
      <c r="C16" s="958">
        <v>0</v>
      </c>
      <c r="D16" s="959">
        <f t="shared" ref="D16:D24" si="12">C16-B16</f>
        <v>0</v>
      </c>
      <c r="E16" s="183" t="str">
        <f t="shared" si="0"/>
        <v>-</v>
      </c>
      <c r="F16" s="184"/>
      <c r="G16" s="962">
        <v>0</v>
      </c>
      <c r="H16" s="963">
        <v>0</v>
      </c>
      <c r="I16" s="959">
        <f t="shared" ref="I16:I24" si="13">H16-G16</f>
        <v>0</v>
      </c>
      <c r="J16" s="183" t="str">
        <f t="shared" si="8"/>
        <v>-</v>
      </c>
      <c r="K16" s="184"/>
      <c r="L16" s="962">
        <v>0</v>
      </c>
      <c r="M16" s="963">
        <v>0</v>
      </c>
      <c r="N16" s="959">
        <f t="shared" ref="N16:N24" si="14">M16-L16</f>
        <v>0</v>
      </c>
      <c r="O16" s="185" t="str">
        <f t="shared" si="9"/>
        <v>-</v>
      </c>
      <c r="P16" s="184"/>
      <c r="Q16" s="962">
        <v>0</v>
      </c>
      <c r="R16" s="963">
        <v>0</v>
      </c>
      <c r="S16" s="959">
        <f t="shared" ref="S16:S24" si="15">R16-Q16</f>
        <v>0</v>
      </c>
      <c r="T16" s="185" t="str">
        <f t="shared" si="3"/>
        <v>-</v>
      </c>
      <c r="U16" s="186"/>
      <c r="V16" s="995">
        <f t="shared" si="4"/>
        <v>0</v>
      </c>
      <c r="W16" s="995">
        <f t="shared" si="4"/>
        <v>0</v>
      </c>
      <c r="X16" s="959">
        <f t="shared" ref="X16:X24" si="16">W16-V16</f>
        <v>0</v>
      </c>
      <c r="Y16" s="185" t="str">
        <f t="shared" si="10"/>
        <v>-</v>
      </c>
      <c r="Z16" s="188"/>
      <c r="AA16" s="963">
        <f t="shared" ref="AA16:AA24" si="17">SUM(B15+G16+L16+Q16)</f>
        <v>0</v>
      </c>
      <c r="AB16" s="959">
        <f t="shared" si="6"/>
        <v>0</v>
      </c>
      <c r="AC16" s="185" t="str">
        <f t="shared" si="11"/>
        <v>-</v>
      </c>
      <c r="AD16" s="191"/>
      <c r="AE16" s="193"/>
    </row>
    <row r="17" spans="1:33" x14ac:dyDescent="0.3">
      <c r="A17" s="190" t="s">
        <v>68</v>
      </c>
      <c r="B17" s="956">
        <v>0</v>
      </c>
      <c r="C17" s="957">
        <v>0</v>
      </c>
      <c r="D17" s="959">
        <f t="shared" si="12"/>
        <v>0</v>
      </c>
      <c r="E17" s="183" t="str">
        <f t="shared" si="0"/>
        <v>-</v>
      </c>
      <c r="F17" s="191"/>
      <c r="G17" s="962">
        <v>0</v>
      </c>
      <c r="H17" s="963">
        <v>0</v>
      </c>
      <c r="I17" s="959">
        <f t="shared" si="13"/>
        <v>0</v>
      </c>
      <c r="J17" s="183" t="str">
        <f t="shared" si="8"/>
        <v>-</v>
      </c>
      <c r="K17" s="191"/>
      <c r="L17" s="962">
        <v>0</v>
      </c>
      <c r="M17" s="963">
        <v>0</v>
      </c>
      <c r="N17" s="959">
        <f>M17-L17</f>
        <v>0</v>
      </c>
      <c r="O17" s="185" t="str">
        <f t="shared" si="9"/>
        <v>-</v>
      </c>
      <c r="P17" s="191"/>
      <c r="Q17" s="962">
        <v>0</v>
      </c>
      <c r="R17" s="963">
        <v>0</v>
      </c>
      <c r="S17" s="959">
        <f t="shared" si="15"/>
        <v>0</v>
      </c>
      <c r="T17" s="185" t="str">
        <f t="shared" si="3"/>
        <v>-</v>
      </c>
      <c r="U17" s="192"/>
      <c r="V17" s="995">
        <f>SUM(B17+G17+L17+Q17)</f>
        <v>0</v>
      </c>
      <c r="W17" s="995">
        <f t="shared" ref="W17" si="18">SUM(C17+H17+M17+R17)</f>
        <v>0</v>
      </c>
      <c r="X17" s="959">
        <f t="shared" si="16"/>
        <v>0</v>
      </c>
      <c r="Y17" s="185" t="str">
        <f t="shared" si="10"/>
        <v>-</v>
      </c>
      <c r="Z17" s="188"/>
      <c r="AA17" s="963">
        <f t="shared" si="17"/>
        <v>0</v>
      </c>
      <c r="AB17" s="959">
        <f t="shared" si="6"/>
        <v>0</v>
      </c>
      <c r="AC17" s="185" t="str">
        <f t="shared" si="11"/>
        <v>-</v>
      </c>
      <c r="AD17" s="184"/>
      <c r="AE17" s="189"/>
    </row>
    <row r="18" spans="1:33" x14ac:dyDescent="0.3">
      <c r="A18" s="190" t="s">
        <v>71</v>
      </c>
      <c r="B18" s="957">
        <v>0.23869399999999999</v>
      </c>
      <c r="C18" s="957">
        <v>0.21949223999999998</v>
      </c>
      <c r="D18" s="959">
        <f t="shared" si="12"/>
        <v>-1.9201760000000012E-2</v>
      </c>
      <c r="E18" s="183" t="str">
        <f t="shared" si="0"/>
        <v>-</v>
      </c>
      <c r="F18" s="184"/>
      <c r="G18" s="962">
        <v>0.23869399999999999</v>
      </c>
      <c r="H18" s="963">
        <v>0.21949223999999998</v>
      </c>
      <c r="I18" s="959">
        <f>H18-G18</f>
        <v>-1.9201760000000012E-2</v>
      </c>
      <c r="J18" s="183">
        <f>IF(ISERROR(I18/G18),"-",I18/G18)</f>
        <v>-8.0445088690960023E-2</v>
      </c>
      <c r="K18" s="184"/>
      <c r="L18" s="962">
        <v>0.24</v>
      </c>
      <c r="M18" s="963">
        <v>0.22</v>
      </c>
      <c r="N18" s="959">
        <f>M18-L18</f>
        <v>-1.999999999999999E-2</v>
      </c>
      <c r="O18" s="185">
        <f t="shared" si="9"/>
        <v>-8.3333333333333301E-2</v>
      </c>
      <c r="P18" s="184"/>
      <c r="Q18" s="962">
        <v>0.23869399999999999</v>
      </c>
      <c r="R18" s="963">
        <v>0.21949226999999999</v>
      </c>
      <c r="S18" s="959">
        <f t="shared" si="15"/>
        <v>-1.920173E-2</v>
      </c>
      <c r="T18" s="185">
        <f t="shared" si="3"/>
        <v>-8.0444963007029927E-2</v>
      </c>
      <c r="U18" s="186"/>
      <c r="V18" s="995">
        <f>SUM(B18+G18+L18+Q18)</f>
        <v>0.95608199999999988</v>
      </c>
      <c r="W18" s="995">
        <f t="shared" ref="W18:W24" si="19">SUM(C18+H18+M18+R18)</f>
        <v>0.87847674999999992</v>
      </c>
      <c r="X18" s="959">
        <f t="shared" si="16"/>
        <v>-7.7605249999999959E-2</v>
      </c>
      <c r="Y18" s="185">
        <f t="shared" si="10"/>
        <v>-8.1170077461974993E-2</v>
      </c>
      <c r="Z18" s="188"/>
      <c r="AA18" s="994">
        <v>0.92846200000000001</v>
      </c>
      <c r="AB18" s="959">
        <f>AA18-W18</f>
        <v>4.9985250000000092E-2</v>
      </c>
      <c r="AC18" s="185">
        <f t="shared" si="11"/>
        <v>5.3836613668626278E-2</v>
      </c>
      <c r="AD18" s="184"/>
      <c r="AE18" s="189"/>
    </row>
    <row r="19" spans="1:33" x14ac:dyDescent="0.3">
      <c r="A19" s="523" t="s">
        <v>202</v>
      </c>
      <c r="B19" s="956">
        <v>0</v>
      </c>
      <c r="C19" s="957">
        <v>0</v>
      </c>
      <c r="D19" s="959">
        <f t="shared" si="12"/>
        <v>0</v>
      </c>
      <c r="E19" s="183">
        <f t="shared" si="0"/>
        <v>0</v>
      </c>
      <c r="F19" s="184"/>
      <c r="G19" s="962">
        <v>0</v>
      </c>
      <c r="H19" s="963">
        <v>0</v>
      </c>
      <c r="I19" s="959">
        <f>H19-G19</f>
        <v>0</v>
      </c>
      <c r="J19" s="183" t="str">
        <f>IF(ISERROR(I19/G19),"-",I19/G19)</f>
        <v>-</v>
      </c>
      <c r="K19" s="184"/>
      <c r="L19" s="962">
        <v>0</v>
      </c>
      <c r="M19" s="963">
        <v>0</v>
      </c>
      <c r="N19" s="959">
        <f t="shared" si="14"/>
        <v>0</v>
      </c>
      <c r="O19" s="185" t="str">
        <f t="shared" si="9"/>
        <v>-</v>
      </c>
      <c r="P19" s="184"/>
      <c r="Q19" s="962">
        <v>0</v>
      </c>
      <c r="R19" s="963">
        <v>0</v>
      </c>
      <c r="S19" s="959">
        <f>R19-Q19</f>
        <v>0</v>
      </c>
      <c r="T19" s="185" t="str">
        <f t="shared" si="3"/>
        <v>-</v>
      </c>
      <c r="U19" s="186"/>
      <c r="V19" s="995">
        <f t="shared" ref="V19:V24" si="20">SUM(B19+G19+L19+Q19)</f>
        <v>0</v>
      </c>
      <c r="W19" s="995">
        <f t="shared" si="19"/>
        <v>0</v>
      </c>
      <c r="X19" s="959">
        <f t="shared" si="16"/>
        <v>0</v>
      </c>
      <c r="Y19" s="185" t="str">
        <f t="shared" si="10"/>
        <v>-</v>
      </c>
      <c r="Z19" s="188"/>
      <c r="AA19" s="963">
        <v>0</v>
      </c>
      <c r="AB19" s="959">
        <f t="shared" si="6"/>
        <v>0</v>
      </c>
      <c r="AC19" s="185" t="str">
        <f t="shared" si="11"/>
        <v>-</v>
      </c>
      <c r="AD19" s="184"/>
      <c r="AE19" s="189"/>
    </row>
    <row r="20" spans="1:33" x14ac:dyDescent="0.3">
      <c r="A20" s="194" t="s">
        <v>67</v>
      </c>
      <c r="B20" s="956">
        <v>0</v>
      </c>
      <c r="C20" s="957">
        <v>0</v>
      </c>
      <c r="D20" s="959">
        <f t="shared" si="12"/>
        <v>0</v>
      </c>
      <c r="E20" s="183" t="str">
        <f t="shared" si="0"/>
        <v>-</v>
      </c>
      <c r="F20" s="184"/>
      <c r="G20" s="962">
        <v>0</v>
      </c>
      <c r="H20" s="963">
        <v>0</v>
      </c>
      <c r="I20" s="959">
        <f t="shared" si="13"/>
        <v>0</v>
      </c>
      <c r="J20" s="183" t="str">
        <f t="shared" si="8"/>
        <v>-</v>
      </c>
      <c r="K20" s="184"/>
      <c r="L20" s="962">
        <v>0</v>
      </c>
      <c r="M20" s="963">
        <v>0</v>
      </c>
      <c r="N20" s="959">
        <f t="shared" si="14"/>
        <v>0</v>
      </c>
      <c r="O20" s="185" t="str">
        <f t="shared" si="9"/>
        <v>-</v>
      </c>
      <c r="P20" s="184"/>
      <c r="Q20" s="962">
        <v>0</v>
      </c>
      <c r="R20" s="963">
        <v>0</v>
      </c>
      <c r="S20" s="959">
        <f t="shared" si="15"/>
        <v>0</v>
      </c>
      <c r="T20" s="185" t="str">
        <f t="shared" si="3"/>
        <v>-</v>
      </c>
      <c r="U20" s="186"/>
      <c r="V20" s="995">
        <f t="shared" si="20"/>
        <v>0</v>
      </c>
      <c r="W20" s="995">
        <f t="shared" si="19"/>
        <v>0</v>
      </c>
      <c r="X20" s="959">
        <f t="shared" si="16"/>
        <v>0</v>
      </c>
      <c r="Y20" s="185" t="str">
        <f t="shared" si="10"/>
        <v>-</v>
      </c>
      <c r="Z20" s="188"/>
      <c r="AA20" s="963">
        <f t="shared" si="17"/>
        <v>0</v>
      </c>
      <c r="AB20" s="959">
        <f t="shared" si="6"/>
        <v>0</v>
      </c>
      <c r="AC20" s="185" t="str">
        <f t="shared" si="11"/>
        <v>-</v>
      </c>
      <c r="AD20" s="184"/>
      <c r="AE20" s="189"/>
    </row>
    <row r="21" spans="1:33" x14ac:dyDescent="0.3">
      <c r="A21" s="181" t="s">
        <v>112</v>
      </c>
      <c r="B21" s="956">
        <v>0</v>
      </c>
      <c r="C21" s="957">
        <v>0</v>
      </c>
      <c r="D21" s="959">
        <f t="shared" si="12"/>
        <v>0</v>
      </c>
      <c r="E21" s="183" t="str">
        <f t="shared" si="0"/>
        <v>-</v>
      </c>
      <c r="F21" s="184"/>
      <c r="G21" s="962">
        <v>0</v>
      </c>
      <c r="H21" s="963">
        <v>0</v>
      </c>
      <c r="I21" s="959">
        <f t="shared" si="13"/>
        <v>0</v>
      </c>
      <c r="J21" s="183" t="str">
        <f t="shared" si="8"/>
        <v>-</v>
      </c>
      <c r="K21" s="184"/>
      <c r="L21" s="962">
        <v>0</v>
      </c>
      <c r="M21" s="963">
        <v>0</v>
      </c>
      <c r="N21" s="959">
        <f t="shared" si="14"/>
        <v>0</v>
      </c>
      <c r="O21" s="185" t="str">
        <f t="shared" si="9"/>
        <v>-</v>
      </c>
      <c r="P21" s="184"/>
      <c r="Q21" s="962">
        <v>0</v>
      </c>
      <c r="R21" s="963">
        <v>0</v>
      </c>
      <c r="S21" s="959">
        <f t="shared" si="15"/>
        <v>0</v>
      </c>
      <c r="T21" s="185" t="str">
        <f t="shared" si="3"/>
        <v>-</v>
      </c>
      <c r="U21" s="186"/>
      <c r="V21" s="995">
        <f t="shared" si="20"/>
        <v>0</v>
      </c>
      <c r="W21" s="995">
        <f t="shared" si="19"/>
        <v>0</v>
      </c>
      <c r="X21" s="959">
        <f t="shared" si="16"/>
        <v>0</v>
      </c>
      <c r="Y21" s="185" t="str">
        <f t="shared" si="10"/>
        <v>-</v>
      </c>
      <c r="Z21" s="188"/>
      <c r="AA21" s="963">
        <f t="shared" si="17"/>
        <v>0</v>
      </c>
      <c r="AB21" s="959">
        <f t="shared" si="6"/>
        <v>0</v>
      </c>
      <c r="AC21" s="185" t="str">
        <f t="shared" si="11"/>
        <v>-</v>
      </c>
      <c r="AD21" s="184"/>
      <c r="AE21" s="189"/>
      <c r="AG21" s="195"/>
    </row>
    <row r="22" spans="1:33" x14ac:dyDescent="0.3">
      <c r="A22" s="190" t="s">
        <v>70</v>
      </c>
      <c r="B22" s="956">
        <v>0</v>
      </c>
      <c r="C22" s="957">
        <v>0</v>
      </c>
      <c r="D22" s="959">
        <f t="shared" si="12"/>
        <v>0</v>
      </c>
      <c r="E22" s="183" t="str">
        <f t="shared" si="0"/>
        <v>-</v>
      </c>
      <c r="F22" s="184"/>
      <c r="G22" s="962">
        <v>0</v>
      </c>
      <c r="H22" s="963">
        <v>0</v>
      </c>
      <c r="I22" s="959">
        <f t="shared" si="13"/>
        <v>0</v>
      </c>
      <c r="J22" s="183" t="str">
        <f t="shared" si="8"/>
        <v>-</v>
      </c>
      <c r="K22" s="184"/>
      <c r="L22" s="962">
        <v>0</v>
      </c>
      <c r="M22" s="963">
        <v>0</v>
      </c>
      <c r="N22" s="959">
        <f t="shared" si="14"/>
        <v>0</v>
      </c>
      <c r="O22" s="185" t="str">
        <f t="shared" si="9"/>
        <v>-</v>
      </c>
      <c r="P22" s="184"/>
      <c r="Q22" s="962">
        <v>0</v>
      </c>
      <c r="R22" s="963">
        <v>0</v>
      </c>
      <c r="S22" s="959">
        <f t="shared" si="15"/>
        <v>0</v>
      </c>
      <c r="T22" s="185" t="str">
        <f t="shared" si="3"/>
        <v>-</v>
      </c>
      <c r="U22" s="186"/>
      <c r="V22" s="995">
        <f t="shared" si="20"/>
        <v>0</v>
      </c>
      <c r="W22" s="995">
        <f t="shared" si="19"/>
        <v>0</v>
      </c>
      <c r="X22" s="959">
        <f t="shared" si="16"/>
        <v>0</v>
      </c>
      <c r="Y22" s="185" t="str">
        <f t="shared" si="10"/>
        <v>-</v>
      </c>
      <c r="Z22" s="188"/>
      <c r="AA22" s="963">
        <f t="shared" si="17"/>
        <v>0</v>
      </c>
      <c r="AB22" s="959">
        <f t="shared" si="6"/>
        <v>0</v>
      </c>
      <c r="AC22" s="185" t="str">
        <f t="shared" si="11"/>
        <v>-</v>
      </c>
      <c r="AD22" s="184"/>
      <c r="AE22" s="193"/>
    </row>
    <row r="23" spans="1:33" x14ac:dyDescent="0.3">
      <c r="A23" s="190" t="s">
        <v>72</v>
      </c>
      <c r="B23" s="956">
        <v>0</v>
      </c>
      <c r="C23" s="957">
        <v>0</v>
      </c>
      <c r="D23" s="959">
        <f t="shared" si="12"/>
        <v>0</v>
      </c>
      <c r="E23" s="183" t="str">
        <f t="shared" si="0"/>
        <v>-</v>
      </c>
      <c r="F23" s="184"/>
      <c r="G23" s="962">
        <v>0</v>
      </c>
      <c r="H23" s="963">
        <v>0</v>
      </c>
      <c r="I23" s="959">
        <f t="shared" si="13"/>
        <v>0</v>
      </c>
      <c r="J23" s="183" t="str">
        <f t="shared" si="8"/>
        <v>-</v>
      </c>
      <c r="K23" s="184"/>
      <c r="L23" s="962">
        <v>0</v>
      </c>
      <c r="M23" s="963">
        <v>0</v>
      </c>
      <c r="N23" s="959">
        <f t="shared" si="14"/>
        <v>0</v>
      </c>
      <c r="O23" s="185" t="str">
        <f t="shared" si="9"/>
        <v>-</v>
      </c>
      <c r="P23" s="184"/>
      <c r="Q23" s="962">
        <v>0</v>
      </c>
      <c r="R23" s="963">
        <v>0</v>
      </c>
      <c r="S23" s="959">
        <f t="shared" si="15"/>
        <v>0</v>
      </c>
      <c r="T23" s="185" t="str">
        <f t="shared" si="3"/>
        <v>-</v>
      </c>
      <c r="U23" s="186"/>
      <c r="V23" s="995">
        <f t="shared" si="20"/>
        <v>0</v>
      </c>
      <c r="W23" s="995">
        <f t="shared" si="19"/>
        <v>0</v>
      </c>
      <c r="X23" s="959">
        <f t="shared" si="16"/>
        <v>0</v>
      </c>
      <c r="Y23" s="185" t="str">
        <f t="shared" si="10"/>
        <v>-</v>
      </c>
      <c r="Z23" s="188"/>
      <c r="AA23" s="963">
        <f t="shared" si="17"/>
        <v>0</v>
      </c>
      <c r="AB23" s="959">
        <f>AA23-W23</f>
        <v>0</v>
      </c>
      <c r="AC23" s="185" t="str">
        <f t="shared" si="11"/>
        <v>-</v>
      </c>
      <c r="AD23" s="184"/>
      <c r="AE23" s="189"/>
    </row>
    <row r="24" spans="1:33" x14ac:dyDescent="0.3">
      <c r="A24" s="190" t="s">
        <v>131</v>
      </c>
      <c r="B24" s="956">
        <v>0</v>
      </c>
      <c r="C24" s="957">
        <v>0</v>
      </c>
      <c r="D24" s="959">
        <f t="shared" si="12"/>
        <v>0</v>
      </c>
      <c r="E24" s="196" t="str">
        <f t="shared" si="0"/>
        <v>-</v>
      </c>
      <c r="F24" s="184"/>
      <c r="G24" s="962">
        <v>0</v>
      </c>
      <c r="H24" s="963">
        <v>0</v>
      </c>
      <c r="I24" s="959">
        <f t="shared" si="13"/>
        <v>0</v>
      </c>
      <c r="J24" s="196" t="str">
        <f t="shared" si="8"/>
        <v>-</v>
      </c>
      <c r="K24" s="184"/>
      <c r="L24" s="962">
        <v>0</v>
      </c>
      <c r="M24" s="963">
        <v>0</v>
      </c>
      <c r="N24" s="959">
        <f t="shared" si="14"/>
        <v>0</v>
      </c>
      <c r="O24" s="197" t="str">
        <f t="shared" si="9"/>
        <v>-</v>
      </c>
      <c r="P24" s="184"/>
      <c r="Q24" s="962">
        <v>0</v>
      </c>
      <c r="R24" s="963">
        <v>0</v>
      </c>
      <c r="S24" s="959">
        <f t="shared" si="15"/>
        <v>0</v>
      </c>
      <c r="T24" s="197" t="str">
        <f t="shared" si="3"/>
        <v>-</v>
      </c>
      <c r="U24" s="198"/>
      <c r="V24" s="995">
        <f t="shared" si="20"/>
        <v>0</v>
      </c>
      <c r="W24" s="995">
        <f t="shared" si="19"/>
        <v>0</v>
      </c>
      <c r="X24" s="959">
        <f t="shared" si="16"/>
        <v>0</v>
      </c>
      <c r="Y24" s="197" t="str">
        <f t="shared" si="10"/>
        <v>-</v>
      </c>
      <c r="Z24" s="188"/>
      <c r="AA24" s="963">
        <f t="shared" si="17"/>
        <v>0</v>
      </c>
      <c r="AB24" s="959">
        <f t="shared" si="6"/>
        <v>0</v>
      </c>
      <c r="AC24" s="197" t="str">
        <f t="shared" si="11"/>
        <v>-</v>
      </c>
      <c r="AD24" s="203"/>
      <c r="AE24" s="209"/>
    </row>
    <row r="25" spans="1:33" x14ac:dyDescent="0.3">
      <c r="A25" s="199" t="s">
        <v>73</v>
      </c>
      <c r="B25" s="961">
        <f>SUM(B14:B24)</f>
        <v>0.23869399999999999</v>
      </c>
      <c r="C25" s="960">
        <f>SUM(C14:C24)</f>
        <v>0.21949223999999998</v>
      </c>
      <c r="D25" s="960">
        <f>SUM(D14:D24)</f>
        <v>-1.9201760000000012E-2</v>
      </c>
      <c r="E25" s="202">
        <f>IF(ISERROR(D25/B25),"-",D25/B25)</f>
        <v>-8.0445088690960023E-2</v>
      </c>
      <c r="F25" s="203"/>
      <c r="G25" s="961">
        <f>SUM(G14:G24)</f>
        <v>0.23869399999999999</v>
      </c>
      <c r="H25" s="960">
        <f>SUM(H14:H24)</f>
        <v>0.21949223999999998</v>
      </c>
      <c r="I25" s="960">
        <f>SUM(I14:I24)</f>
        <v>-1.9201760000000012E-2</v>
      </c>
      <c r="J25" s="202">
        <f t="shared" si="8"/>
        <v>-8.0445088690960023E-2</v>
      </c>
      <c r="K25" s="203"/>
      <c r="L25" s="961">
        <f>SUM(L14:L24)</f>
        <v>0.24</v>
      </c>
      <c r="M25" s="960">
        <f>SUM(M14:M24)</f>
        <v>0.22</v>
      </c>
      <c r="N25" s="960">
        <f>SUM(N14:N24)</f>
        <v>-1.999999999999999E-2</v>
      </c>
      <c r="O25" s="204">
        <f>IF(ISERROR(N25/L25),"-",N25/L25)</f>
        <v>-8.3333333333333301E-2</v>
      </c>
      <c r="P25" s="203"/>
      <c r="Q25" s="961">
        <f>SUM(Q14:Q24)</f>
        <v>0.23869399999999999</v>
      </c>
      <c r="R25" s="960">
        <f>SUM(R14:R24)</f>
        <v>0.21949226999999999</v>
      </c>
      <c r="S25" s="960">
        <f>SUM(S14:S24)</f>
        <v>-1.920173E-2</v>
      </c>
      <c r="T25" s="205">
        <f t="shared" si="3"/>
        <v>-8.0444963007029927E-2</v>
      </c>
      <c r="U25" s="203"/>
      <c r="V25" s="961">
        <f>SUM(V14:V24)</f>
        <v>0.95608199999999988</v>
      </c>
      <c r="W25" s="960">
        <f>SUM(W14:W24)</f>
        <v>0.87847674999999992</v>
      </c>
      <c r="X25" s="960">
        <f>SUM(X14:X24)</f>
        <v>-7.7605249999999959E-2</v>
      </c>
      <c r="Y25" s="205">
        <f t="shared" si="10"/>
        <v>-8.1170077461974993E-2</v>
      </c>
      <c r="Z25" s="179"/>
      <c r="AA25" s="961">
        <f>SUM(AA14:AA24)</f>
        <v>0.92846200000000001</v>
      </c>
      <c r="AB25" s="1268">
        <f>SUM(AB14:AB24)</f>
        <v>4.9985250000000092E-2</v>
      </c>
      <c r="AC25" s="208">
        <f t="shared" si="11"/>
        <v>5.3836613668626278E-2</v>
      </c>
      <c r="AD25" s="184"/>
      <c r="AE25" s="189"/>
    </row>
    <row r="26" spans="1:33" x14ac:dyDescent="0.3">
      <c r="A26" s="210"/>
      <c r="B26" s="603"/>
      <c r="C26" s="604"/>
      <c r="D26" s="604"/>
      <c r="E26" s="213"/>
      <c r="F26" s="184"/>
      <c r="G26" s="964"/>
      <c r="H26" s="965"/>
      <c r="I26" s="965"/>
      <c r="J26" s="216"/>
      <c r="K26" s="184"/>
      <c r="L26" s="990"/>
      <c r="M26" s="991"/>
      <c r="N26" s="991"/>
      <c r="O26" s="217"/>
      <c r="P26" s="184"/>
      <c r="Q26" s="964"/>
      <c r="R26" s="965"/>
      <c r="S26" s="965"/>
      <c r="T26" s="218" t="str">
        <f t="shared" si="3"/>
        <v>-</v>
      </c>
      <c r="U26" s="184"/>
      <c r="V26" s="990"/>
      <c r="W26" s="991"/>
      <c r="X26" s="991"/>
      <c r="Y26" s="217"/>
      <c r="Z26" s="188"/>
      <c r="AA26" s="990"/>
      <c r="AB26" s="991"/>
      <c r="AC26" s="217"/>
      <c r="AD26" s="184"/>
      <c r="AE26" s="189"/>
    </row>
    <row r="27" spans="1:33" x14ac:dyDescent="0.3">
      <c r="A27" s="172" t="s">
        <v>74</v>
      </c>
      <c r="B27" s="962">
        <v>0</v>
      </c>
      <c r="C27" s="963">
        <v>0</v>
      </c>
      <c r="D27" s="963">
        <f>C27-B27</f>
        <v>0</v>
      </c>
      <c r="E27" s="220" t="str">
        <f>IF(ISERROR(D27/B27),"-",D27/B27)</f>
        <v>-</v>
      </c>
      <c r="F27" s="184"/>
      <c r="G27" s="966">
        <v>0</v>
      </c>
      <c r="H27" s="967">
        <v>0</v>
      </c>
      <c r="I27" s="963">
        <f>H27-G27</f>
        <v>0</v>
      </c>
      <c r="J27" s="221" t="str">
        <f>IF(ISERROR(I27/G27),"-",I27/G27)</f>
        <v>-</v>
      </c>
      <c r="K27" s="184"/>
      <c r="L27" s="962">
        <v>0</v>
      </c>
      <c r="M27" s="963">
        <v>0</v>
      </c>
      <c r="N27" s="963">
        <f>M27-L27</f>
        <v>0</v>
      </c>
      <c r="O27" s="222" t="str">
        <f>IF(ISERROR(N27/L27),"-",N27/L27)</f>
        <v>-</v>
      </c>
      <c r="P27" s="184"/>
      <c r="Q27" s="966">
        <v>0</v>
      </c>
      <c r="R27" s="967">
        <v>0</v>
      </c>
      <c r="S27" s="963">
        <f>R27-Q27</f>
        <v>0</v>
      </c>
      <c r="T27" s="223" t="str">
        <f t="shared" si="3"/>
        <v>-</v>
      </c>
      <c r="U27" s="184"/>
      <c r="V27" s="962">
        <f>B27+G27+L27+Q27</f>
        <v>0</v>
      </c>
      <c r="W27" s="962">
        <f>C27+H27+M27+R27</f>
        <v>0</v>
      </c>
      <c r="X27" s="963">
        <f>W27-V27</f>
        <v>0</v>
      </c>
      <c r="Y27" s="225"/>
      <c r="Z27" s="188"/>
      <c r="AA27" s="962">
        <f>SUM(B27+G27+L27+Q27)</f>
        <v>0</v>
      </c>
      <c r="AB27" s="959">
        <f>AA27-W27</f>
        <v>0</v>
      </c>
      <c r="AC27" s="185" t="str">
        <f>IF(ISERROR(AB27/AA27),"-",AB27/AA27)</f>
        <v>-</v>
      </c>
      <c r="AD27" s="175"/>
      <c r="AE27" s="189"/>
    </row>
    <row r="28" spans="1:33" x14ac:dyDescent="0.3">
      <c r="A28" s="226"/>
      <c r="B28" s="984"/>
      <c r="C28" s="985"/>
      <c r="D28" s="985"/>
      <c r="E28" s="229"/>
      <c r="F28" s="175"/>
      <c r="G28" s="968"/>
      <c r="H28" s="969"/>
      <c r="I28" s="969"/>
      <c r="J28" s="232"/>
      <c r="K28" s="175"/>
      <c r="L28" s="984"/>
      <c r="M28" s="985"/>
      <c r="N28" s="985"/>
      <c r="O28" s="233"/>
      <c r="P28" s="175"/>
      <c r="Q28" s="968"/>
      <c r="R28" s="969"/>
      <c r="S28" s="969"/>
      <c r="T28" s="234" t="str">
        <f t="shared" si="3"/>
        <v>-</v>
      </c>
      <c r="U28" s="175"/>
      <c r="V28" s="984"/>
      <c r="W28" s="985"/>
      <c r="X28" s="985"/>
      <c r="Y28" s="233"/>
      <c r="Z28" s="179"/>
      <c r="AA28" s="984"/>
      <c r="AB28" s="985"/>
      <c r="AC28" s="233"/>
      <c r="AD28" s="203"/>
      <c r="AE28" s="209"/>
    </row>
    <row r="29" spans="1:33" x14ac:dyDescent="0.3">
      <c r="A29" s="199" t="s">
        <v>75</v>
      </c>
      <c r="B29" s="970">
        <f>B25+B27</f>
        <v>0.23869399999999999</v>
      </c>
      <c r="C29" s="971">
        <f>C25+C27</f>
        <v>0.21949223999999998</v>
      </c>
      <c r="D29" s="971">
        <f>D25+D27</f>
        <v>-1.9201760000000012E-2</v>
      </c>
      <c r="E29" s="237">
        <f>IF(ISERROR(D29/B29),"-",D29/B29)</f>
        <v>-8.0445088690960023E-2</v>
      </c>
      <c r="F29" s="203"/>
      <c r="G29" s="970">
        <f>G25+G27</f>
        <v>0.23869399999999999</v>
      </c>
      <c r="H29" s="971">
        <f>H25+H27</f>
        <v>0.21949223999999998</v>
      </c>
      <c r="I29" s="971">
        <f>I25+I27</f>
        <v>-1.9201760000000012E-2</v>
      </c>
      <c r="J29" s="237">
        <f>IF(ISERROR(I29/G29),"-",I29/G29)</f>
        <v>-8.0445088690960023E-2</v>
      </c>
      <c r="K29" s="203"/>
      <c r="L29" s="970">
        <f>L25+L27</f>
        <v>0.24</v>
      </c>
      <c r="M29" s="971">
        <f>M25+M27</f>
        <v>0.22</v>
      </c>
      <c r="N29" s="971">
        <f>N25+N27</f>
        <v>-1.999999999999999E-2</v>
      </c>
      <c r="O29" s="238">
        <f>IF(ISERROR(N29/L29),"-",N29/L29)</f>
        <v>-8.3333333333333301E-2</v>
      </c>
      <c r="P29" s="203"/>
      <c r="Q29" s="970">
        <f>Q25+Q27</f>
        <v>0.23869399999999999</v>
      </c>
      <c r="R29" s="971">
        <f>R25+R27</f>
        <v>0.21949226999999999</v>
      </c>
      <c r="S29" s="971">
        <f>S25+S27</f>
        <v>-1.920173E-2</v>
      </c>
      <c r="T29" s="238">
        <f t="shared" si="3"/>
        <v>-8.0444963007029927E-2</v>
      </c>
      <c r="U29" s="203"/>
      <c r="V29" s="970">
        <f>V25+V27</f>
        <v>0.95608199999999988</v>
      </c>
      <c r="W29" s="971">
        <f>W25+W27</f>
        <v>0.87847674999999992</v>
      </c>
      <c r="X29" s="971">
        <f>X25+X27</f>
        <v>-7.7605249999999959E-2</v>
      </c>
      <c r="Y29" s="238">
        <f>IF(ISERROR(X29/V29),"-",X29/V29)</f>
        <v>-8.1170077461974993E-2</v>
      </c>
      <c r="Z29" s="179"/>
      <c r="AA29" s="469">
        <f>AA25+AA27</f>
        <v>0.92846200000000001</v>
      </c>
      <c r="AB29" s="472">
        <f>AA29-W29</f>
        <v>4.9985250000000092E-2</v>
      </c>
      <c r="AC29" s="241">
        <f>IF(ISERROR(AB29/AA29),"-",AB29/AA29)</f>
        <v>5.3836613668626278E-2</v>
      </c>
      <c r="AD29" s="175"/>
      <c r="AE29" s="189"/>
    </row>
    <row r="30" spans="1:33" x14ac:dyDescent="0.3">
      <c r="A30" s="242"/>
      <c r="B30" s="986"/>
      <c r="C30" s="987"/>
      <c r="D30" s="987"/>
      <c r="E30" s="245"/>
      <c r="F30" s="175"/>
      <c r="G30" s="972"/>
      <c r="H30" s="973"/>
      <c r="I30" s="973"/>
      <c r="J30" s="248"/>
      <c r="K30" s="175"/>
      <c r="L30" s="986"/>
      <c r="M30" s="987"/>
      <c r="N30" s="987"/>
      <c r="O30" s="249"/>
      <c r="P30" s="175"/>
      <c r="Q30" s="972"/>
      <c r="R30" s="973"/>
      <c r="S30" s="973"/>
      <c r="T30" s="250"/>
      <c r="U30" s="175"/>
      <c r="V30" s="990"/>
      <c r="W30" s="991"/>
      <c r="X30" s="987"/>
      <c r="Y30" s="249"/>
      <c r="Z30" s="179"/>
      <c r="AA30" s="986"/>
      <c r="AB30" s="987"/>
      <c r="AC30" s="249"/>
      <c r="AD30" s="184"/>
      <c r="AE30" s="189"/>
    </row>
    <row r="31" spans="1:33" x14ac:dyDescent="0.3">
      <c r="A31" s="172" t="s">
        <v>76</v>
      </c>
      <c r="B31" s="962"/>
      <c r="C31" s="963"/>
      <c r="D31" s="963"/>
      <c r="E31" s="251"/>
      <c r="F31" s="184"/>
      <c r="G31" s="966"/>
      <c r="H31" s="967"/>
      <c r="I31" s="967"/>
      <c r="J31" s="254"/>
      <c r="K31" s="184"/>
      <c r="L31" s="962"/>
      <c r="M31" s="963"/>
      <c r="N31" s="963"/>
      <c r="O31" s="225"/>
      <c r="P31" s="184"/>
      <c r="Q31" s="966"/>
      <c r="R31" s="967"/>
      <c r="S31" s="967"/>
      <c r="T31" s="255"/>
      <c r="U31" s="184"/>
      <c r="V31" s="962"/>
      <c r="W31" s="963"/>
      <c r="X31" s="963"/>
      <c r="Y31" s="225"/>
      <c r="Z31" s="188"/>
      <c r="AA31" s="962"/>
      <c r="AB31" s="963"/>
      <c r="AC31" s="225"/>
      <c r="AD31" s="184"/>
      <c r="AE31" s="189"/>
    </row>
    <row r="32" spans="1:33" x14ac:dyDescent="0.3">
      <c r="A32" s="172" t="s">
        <v>77</v>
      </c>
      <c r="B32" s="962"/>
      <c r="C32" s="963"/>
      <c r="D32" s="963"/>
      <c r="E32" s="251"/>
      <c r="F32" s="184"/>
      <c r="G32" s="966"/>
      <c r="H32" s="967"/>
      <c r="I32" s="967"/>
      <c r="J32" s="254"/>
      <c r="K32" s="184"/>
      <c r="L32" s="962"/>
      <c r="M32" s="963"/>
      <c r="N32" s="963"/>
      <c r="O32" s="225"/>
      <c r="P32" s="184"/>
      <c r="Q32" s="966"/>
      <c r="R32" s="967"/>
      <c r="S32" s="967"/>
      <c r="T32" s="255"/>
      <c r="U32" s="184"/>
      <c r="V32" s="962"/>
      <c r="W32" s="963"/>
      <c r="X32" s="963"/>
      <c r="Y32" s="225"/>
      <c r="Z32" s="188"/>
      <c r="AA32" s="962"/>
      <c r="AB32" s="963"/>
      <c r="AC32" s="225"/>
      <c r="AD32" s="191"/>
      <c r="AE32" s="193"/>
    </row>
    <row r="33" spans="1:31" x14ac:dyDescent="0.3">
      <c r="A33" s="190" t="s">
        <v>78</v>
      </c>
      <c r="B33" s="962">
        <v>0.11852525</v>
      </c>
      <c r="C33" s="962">
        <v>9.9551870000000015E-2</v>
      </c>
      <c r="D33" s="959">
        <f t="shared" ref="D33:D40" si="21">C33-B33</f>
        <v>-1.8973379999999984E-2</v>
      </c>
      <c r="E33" s="220">
        <f t="shared" ref="E33:E41" si="22">IF(ISERROR(D33/B33),"-",D33/B33)</f>
        <v>-0.16007880177430533</v>
      </c>
      <c r="F33" s="191"/>
      <c r="G33" s="966">
        <v>0.11852525</v>
      </c>
      <c r="H33" s="967">
        <v>9.8871000000000001E-2</v>
      </c>
      <c r="I33" s="959">
        <f t="shared" ref="I33:I40" si="23">H33-G33</f>
        <v>-1.9654249999999998E-2</v>
      </c>
      <c r="J33" s="221">
        <f t="shared" ref="J33:J41" si="24">IF(ISERROR(I33/G33),"-",I33/G33)</f>
        <v>-0.16582331612884174</v>
      </c>
      <c r="K33" s="191"/>
      <c r="L33" s="962">
        <v>0.12</v>
      </c>
      <c r="M33" s="962">
        <v>0.1029568</v>
      </c>
      <c r="N33" s="959">
        <f>M33-L33</f>
        <v>-1.7043199999999994E-2</v>
      </c>
      <c r="O33" s="222">
        <f t="shared" ref="O33:O40" si="25">IF(ISERROR(N33/L33),"-",N33/L33)</f>
        <v>-0.14202666666666663</v>
      </c>
      <c r="P33" s="191"/>
      <c r="Q33" s="966">
        <v>0.11852525</v>
      </c>
      <c r="R33" s="966">
        <v>0.131828</v>
      </c>
      <c r="S33" s="959">
        <f t="shared" ref="S33:S40" si="26">R33-Q33</f>
        <v>1.3302750000000002E-2</v>
      </c>
      <c r="T33" s="223">
        <f t="shared" ref="T33:T41" si="27">IF(ISERROR(S33/Q33),"-",S33/Q33)</f>
        <v>0.1122355784948777</v>
      </c>
      <c r="U33" s="191"/>
      <c r="V33" s="962">
        <f>SUM(B33+G33+L33+Q33)</f>
        <v>0.47557574999999996</v>
      </c>
      <c r="W33" s="962">
        <f>C33+H33+M33+R33</f>
        <v>0.43320767000000004</v>
      </c>
      <c r="X33" s="959">
        <f t="shared" ref="X33:X40" si="28">W33-V33</f>
        <v>-4.2368079999999919E-2</v>
      </c>
      <c r="Y33" s="222">
        <f t="shared" ref="Y33:Y41" si="29">IF(ISERROR(X33/V33),"-",X33/V33)</f>
        <v>-8.9087973892697264E-2</v>
      </c>
      <c r="Z33" s="188"/>
      <c r="AA33" s="450">
        <v>386196</v>
      </c>
      <c r="AB33" s="963">
        <v>0.04</v>
      </c>
      <c r="AC33" s="222">
        <f>IF(ISERROR(AB33/AA33),"-",AB33/AA33)</f>
        <v>1.0357435084775606E-7</v>
      </c>
      <c r="AD33" s="191"/>
      <c r="AE33" s="193"/>
    </row>
    <row r="34" spans="1:31" x14ac:dyDescent="0.3">
      <c r="A34" s="190" t="s">
        <v>79</v>
      </c>
      <c r="B34" s="962">
        <v>0</v>
      </c>
      <c r="C34" s="963">
        <v>0</v>
      </c>
      <c r="D34" s="959">
        <f t="shared" si="21"/>
        <v>0</v>
      </c>
      <c r="E34" s="220" t="str">
        <f t="shared" si="22"/>
        <v>-</v>
      </c>
      <c r="F34" s="191"/>
      <c r="G34" s="966">
        <v>0</v>
      </c>
      <c r="H34" s="967">
        <v>0</v>
      </c>
      <c r="I34" s="959">
        <f t="shared" si="23"/>
        <v>0</v>
      </c>
      <c r="J34" s="221" t="str">
        <f t="shared" si="24"/>
        <v>-</v>
      </c>
      <c r="K34" s="191"/>
      <c r="L34" s="962">
        <v>0</v>
      </c>
      <c r="M34" s="962"/>
      <c r="N34" s="959">
        <f t="shared" ref="N34:N40" si="30">M34-L34</f>
        <v>0</v>
      </c>
      <c r="O34" s="222" t="str">
        <f t="shared" si="25"/>
        <v>-</v>
      </c>
      <c r="P34" s="191"/>
      <c r="Q34" s="966">
        <v>0</v>
      </c>
      <c r="R34" s="966">
        <v>0</v>
      </c>
      <c r="S34" s="959">
        <f t="shared" si="26"/>
        <v>0</v>
      </c>
      <c r="T34" s="223" t="str">
        <f t="shared" si="27"/>
        <v>-</v>
      </c>
      <c r="U34" s="191"/>
      <c r="V34" s="962">
        <f t="shared" ref="V34:V40" si="31">SUM(B34+G34+L34+Q34)</f>
        <v>0</v>
      </c>
      <c r="W34" s="962">
        <f t="shared" ref="W34:W40" si="32">C34+H34+M34+R34</f>
        <v>0</v>
      </c>
      <c r="X34" s="959">
        <f t="shared" si="28"/>
        <v>0</v>
      </c>
      <c r="Y34" s="222" t="str">
        <f t="shared" si="29"/>
        <v>-</v>
      </c>
      <c r="Z34" s="188"/>
      <c r="AA34" s="450">
        <v>9753</v>
      </c>
      <c r="AB34" s="451">
        <f t="shared" ref="AB34:AB40" si="33">AA34-W34</f>
        <v>9753</v>
      </c>
      <c r="AC34" s="222">
        <f t="shared" ref="AC34:AC41" si="34">IF(ISERROR(AB34/AA34),"-",AB34/AA34)</f>
        <v>1</v>
      </c>
      <c r="AD34" s="191"/>
      <c r="AE34" s="193"/>
    </row>
    <row r="35" spans="1:31" x14ac:dyDescent="0.3">
      <c r="A35" s="190" t="s">
        <v>81</v>
      </c>
      <c r="B35" s="963">
        <v>0</v>
      </c>
      <c r="C35" s="963">
        <v>4.8274499999999996E-3</v>
      </c>
      <c r="D35" s="959">
        <f t="shared" si="21"/>
        <v>4.8274499999999996E-3</v>
      </c>
      <c r="E35" s="220" t="str">
        <f t="shared" si="22"/>
        <v>-</v>
      </c>
      <c r="F35" s="191"/>
      <c r="G35" s="966">
        <v>0</v>
      </c>
      <c r="H35" s="967">
        <v>4.8274499999999996E-3</v>
      </c>
      <c r="I35" s="959">
        <f t="shared" si="23"/>
        <v>4.8274499999999996E-3</v>
      </c>
      <c r="J35" s="221" t="str">
        <f t="shared" si="24"/>
        <v>-</v>
      </c>
      <c r="K35" s="191"/>
      <c r="L35" s="962">
        <v>0</v>
      </c>
      <c r="M35" s="962">
        <v>4.8274499999999996E-3</v>
      </c>
      <c r="N35" s="959">
        <f t="shared" si="30"/>
        <v>4.8274499999999996E-3</v>
      </c>
      <c r="O35" s="222" t="str">
        <f t="shared" si="25"/>
        <v>-</v>
      </c>
      <c r="P35" s="191"/>
      <c r="Q35" s="966">
        <v>0</v>
      </c>
      <c r="R35" s="966">
        <v>4.8274499999999996E-3</v>
      </c>
      <c r="S35" s="959">
        <f t="shared" si="26"/>
        <v>4.8274499999999996E-3</v>
      </c>
      <c r="T35" s="223" t="str">
        <f t="shared" si="27"/>
        <v>-</v>
      </c>
      <c r="U35" s="191"/>
      <c r="V35" s="962">
        <f t="shared" si="31"/>
        <v>0</v>
      </c>
      <c r="W35" s="962">
        <f t="shared" si="32"/>
        <v>1.9309799999999998E-2</v>
      </c>
      <c r="X35" s="959">
        <f t="shared" si="28"/>
        <v>1.9309799999999998E-2</v>
      </c>
      <c r="Y35" s="222" t="str">
        <f t="shared" si="29"/>
        <v>-</v>
      </c>
      <c r="Z35" s="188"/>
      <c r="AA35" s="450">
        <v>1.5443999999999999E-2</v>
      </c>
      <c r="AB35" s="963">
        <v>-0.01</v>
      </c>
      <c r="AC35" s="222">
        <f t="shared" si="34"/>
        <v>-0.64750064750064751</v>
      </c>
      <c r="AD35" s="256"/>
      <c r="AE35" s="189"/>
    </row>
    <row r="36" spans="1:31" x14ac:dyDescent="0.3">
      <c r="A36" s="190" t="s">
        <v>106</v>
      </c>
      <c r="B36" s="962">
        <v>0</v>
      </c>
      <c r="C36" s="963">
        <v>3.2661000000000001E-3</v>
      </c>
      <c r="D36" s="959">
        <f t="shared" si="21"/>
        <v>3.2661000000000001E-3</v>
      </c>
      <c r="E36" s="220" t="str">
        <f t="shared" si="22"/>
        <v>-</v>
      </c>
      <c r="F36" s="256"/>
      <c r="G36" s="966">
        <v>0</v>
      </c>
      <c r="H36" s="967">
        <v>3.2661000000000001E-3</v>
      </c>
      <c r="I36" s="959">
        <f t="shared" si="23"/>
        <v>3.2661000000000001E-3</v>
      </c>
      <c r="J36" s="221" t="str">
        <f t="shared" si="24"/>
        <v>-</v>
      </c>
      <c r="K36" s="256"/>
      <c r="L36" s="962">
        <v>0</v>
      </c>
      <c r="M36" s="962">
        <v>3.2661000000000001E-3</v>
      </c>
      <c r="N36" s="959">
        <f t="shared" si="30"/>
        <v>3.2661000000000001E-3</v>
      </c>
      <c r="O36" s="222" t="str">
        <f t="shared" si="25"/>
        <v>-</v>
      </c>
      <c r="P36" s="256"/>
      <c r="Q36" s="966">
        <v>0</v>
      </c>
      <c r="R36" s="966">
        <v>3.2661000000000001E-3</v>
      </c>
      <c r="S36" s="959">
        <f t="shared" si="26"/>
        <v>3.2661000000000001E-3</v>
      </c>
      <c r="T36" s="223" t="str">
        <f t="shared" si="27"/>
        <v>-</v>
      </c>
      <c r="U36" s="256"/>
      <c r="V36" s="962">
        <f t="shared" si="31"/>
        <v>0</v>
      </c>
      <c r="W36" s="962">
        <f t="shared" si="32"/>
        <v>1.30644E-2</v>
      </c>
      <c r="X36" s="959">
        <f t="shared" si="28"/>
        <v>1.30644E-2</v>
      </c>
      <c r="Y36" s="222" t="str">
        <f t="shared" si="29"/>
        <v>-</v>
      </c>
      <c r="Z36" s="257"/>
      <c r="AA36" s="450">
        <v>12600</v>
      </c>
      <c r="AB36" s="451">
        <v>0</v>
      </c>
      <c r="AC36" s="222">
        <f t="shared" si="34"/>
        <v>0</v>
      </c>
      <c r="AD36" s="256"/>
      <c r="AE36" s="189"/>
    </row>
    <row r="37" spans="1:31" x14ac:dyDescent="0.3">
      <c r="A37" s="190" t="s">
        <v>80</v>
      </c>
      <c r="B37" s="962">
        <v>0</v>
      </c>
      <c r="C37" s="963">
        <v>5.4000000000000003E-3</v>
      </c>
      <c r="D37" s="959">
        <f t="shared" si="21"/>
        <v>5.4000000000000003E-3</v>
      </c>
      <c r="E37" s="220" t="str">
        <f t="shared" si="22"/>
        <v>-</v>
      </c>
      <c r="F37" s="256"/>
      <c r="G37" s="966">
        <v>0</v>
      </c>
      <c r="H37" s="967">
        <v>5.4000000000000003E-3</v>
      </c>
      <c r="I37" s="959">
        <f t="shared" si="23"/>
        <v>5.4000000000000003E-3</v>
      </c>
      <c r="J37" s="221" t="str">
        <f t="shared" si="24"/>
        <v>-</v>
      </c>
      <c r="K37" s="256"/>
      <c r="L37" s="962">
        <v>0</v>
      </c>
      <c r="M37" s="962">
        <v>5.4000000000000003E-3</v>
      </c>
      <c r="N37" s="959">
        <f t="shared" si="30"/>
        <v>5.4000000000000003E-3</v>
      </c>
      <c r="O37" s="222" t="str">
        <f t="shared" si="25"/>
        <v>-</v>
      </c>
      <c r="P37" s="256"/>
      <c r="Q37" s="966">
        <v>0</v>
      </c>
      <c r="R37" s="966">
        <v>5.4000000000000003E-3</v>
      </c>
      <c r="S37" s="959">
        <f t="shared" si="26"/>
        <v>5.4000000000000003E-3</v>
      </c>
      <c r="T37" s="223" t="str">
        <f t="shared" si="27"/>
        <v>-</v>
      </c>
      <c r="U37" s="256"/>
      <c r="V37" s="962">
        <f t="shared" si="31"/>
        <v>0</v>
      </c>
      <c r="W37" s="962">
        <f t="shared" si="32"/>
        <v>2.1600000000000001E-2</v>
      </c>
      <c r="X37" s="959">
        <f t="shared" si="28"/>
        <v>2.1600000000000001E-2</v>
      </c>
      <c r="Y37" s="222" t="str">
        <f t="shared" si="29"/>
        <v>-</v>
      </c>
      <c r="Z37" s="257"/>
      <c r="AA37" s="450">
        <v>28800</v>
      </c>
      <c r="AB37" s="451">
        <f>0</f>
        <v>0</v>
      </c>
      <c r="AC37" s="222">
        <f t="shared" si="34"/>
        <v>0</v>
      </c>
      <c r="AD37" s="191"/>
      <c r="AE37" s="193"/>
    </row>
    <row r="38" spans="1:31" x14ac:dyDescent="0.3">
      <c r="A38" s="190" t="s">
        <v>130</v>
      </c>
      <c r="B38" s="962">
        <v>0</v>
      </c>
      <c r="C38" s="963">
        <v>4.4308000000000004E-3</v>
      </c>
      <c r="D38" s="959">
        <f t="shared" si="21"/>
        <v>4.4308000000000004E-3</v>
      </c>
      <c r="E38" s="220" t="str">
        <f t="shared" si="22"/>
        <v>-</v>
      </c>
      <c r="F38" s="191"/>
      <c r="G38" s="966">
        <v>0</v>
      </c>
      <c r="H38" s="967">
        <v>4.3604999999999998E-3</v>
      </c>
      <c r="I38" s="959">
        <f t="shared" si="23"/>
        <v>4.3604999999999998E-3</v>
      </c>
      <c r="J38" s="221" t="str">
        <f t="shared" si="24"/>
        <v>-</v>
      </c>
      <c r="K38" s="191"/>
      <c r="L38" s="962">
        <v>0</v>
      </c>
      <c r="M38" s="962">
        <v>4.3604999999999998E-3</v>
      </c>
      <c r="N38" s="959">
        <f t="shared" si="30"/>
        <v>4.3604999999999998E-3</v>
      </c>
      <c r="O38" s="222" t="str">
        <f t="shared" si="25"/>
        <v>-</v>
      </c>
      <c r="P38" s="191"/>
      <c r="Q38" s="966">
        <v>0</v>
      </c>
      <c r="R38" s="966">
        <v>4.3604999999999998E-3</v>
      </c>
      <c r="S38" s="959">
        <f t="shared" si="26"/>
        <v>4.3604999999999998E-3</v>
      </c>
      <c r="T38" s="223" t="str">
        <f t="shared" si="27"/>
        <v>-</v>
      </c>
      <c r="U38" s="191"/>
      <c r="V38" s="962">
        <f t="shared" si="31"/>
        <v>0</v>
      </c>
      <c r="W38" s="962">
        <f t="shared" si="32"/>
        <v>1.7512300000000001E-2</v>
      </c>
      <c r="X38" s="959">
        <f t="shared" si="28"/>
        <v>1.7512300000000001E-2</v>
      </c>
      <c r="Y38" s="222" t="str">
        <f t="shared" si="29"/>
        <v>-</v>
      </c>
      <c r="Z38" s="188"/>
      <c r="AA38" s="450">
        <v>18369</v>
      </c>
      <c r="AB38" s="963">
        <v>0.01</v>
      </c>
      <c r="AC38" s="222">
        <f t="shared" si="34"/>
        <v>5.4439544885404758E-7</v>
      </c>
      <c r="AD38" s="191"/>
      <c r="AE38" s="193"/>
    </row>
    <row r="39" spans="1:31" x14ac:dyDescent="0.3">
      <c r="A39" s="190" t="s">
        <v>129</v>
      </c>
      <c r="B39" s="962">
        <v>0</v>
      </c>
      <c r="C39" s="963">
        <v>0</v>
      </c>
      <c r="D39" s="959">
        <f t="shared" si="21"/>
        <v>0</v>
      </c>
      <c r="E39" s="220" t="str">
        <f t="shared" si="22"/>
        <v>-</v>
      </c>
      <c r="F39" s="191"/>
      <c r="G39" s="966">
        <v>0</v>
      </c>
      <c r="H39" s="967">
        <v>0</v>
      </c>
      <c r="I39" s="959">
        <f t="shared" si="23"/>
        <v>0</v>
      </c>
      <c r="J39" s="221" t="str">
        <f t="shared" si="24"/>
        <v>-</v>
      </c>
      <c r="K39" s="191"/>
      <c r="L39" s="962">
        <v>0</v>
      </c>
      <c r="M39" s="962">
        <v>0</v>
      </c>
      <c r="N39" s="959">
        <f t="shared" si="30"/>
        <v>0</v>
      </c>
      <c r="O39" s="222" t="str">
        <f t="shared" si="25"/>
        <v>-</v>
      </c>
      <c r="P39" s="191"/>
      <c r="Q39" s="966">
        <v>0</v>
      </c>
      <c r="R39" s="966">
        <v>0</v>
      </c>
      <c r="S39" s="959">
        <f t="shared" si="26"/>
        <v>0</v>
      </c>
      <c r="T39" s="223" t="str">
        <f t="shared" si="27"/>
        <v>-</v>
      </c>
      <c r="U39" s="191"/>
      <c r="V39" s="962">
        <f t="shared" si="31"/>
        <v>0</v>
      </c>
      <c r="W39" s="962">
        <f t="shared" si="32"/>
        <v>0</v>
      </c>
      <c r="X39" s="959">
        <f t="shared" si="28"/>
        <v>0</v>
      </c>
      <c r="Y39" s="222" t="str">
        <f t="shared" si="29"/>
        <v>-</v>
      </c>
      <c r="Z39" s="188"/>
      <c r="AA39" s="450">
        <v>0</v>
      </c>
      <c r="AB39" s="451">
        <f t="shared" si="33"/>
        <v>0</v>
      </c>
      <c r="AC39" s="222" t="str">
        <f t="shared" si="34"/>
        <v>-</v>
      </c>
      <c r="AD39" s="184"/>
      <c r="AE39" s="193"/>
    </row>
    <row r="40" spans="1:31" x14ac:dyDescent="0.3">
      <c r="A40" s="258" t="s">
        <v>40</v>
      </c>
      <c r="B40" s="988">
        <v>0</v>
      </c>
      <c r="C40" s="989">
        <v>0</v>
      </c>
      <c r="D40" s="959">
        <f t="shared" si="21"/>
        <v>0</v>
      </c>
      <c r="E40" s="259" t="str">
        <f t="shared" si="22"/>
        <v>-</v>
      </c>
      <c r="F40" s="184"/>
      <c r="G40" s="974">
        <v>0</v>
      </c>
      <c r="H40" s="975">
        <v>0</v>
      </c>
      <c r="I40" s="959">
        <f t="shared" si="23"/>
        <v>0</v>
      </c>
      <c r="J40" s="260" t="str">
        <f t="shared" si="24"/>
        <v>-</v>
      </c>
      <c r="K40" s="184"/>
      <c r="L40" s="962">
        <v>0</v>
      </c>
      <c r="M40" s="962">
        <v>0</v>
      </c>
      <c r="N40" s="959">
        <f t="shared" si="30"/>
        <v>0</v>
      </c>
      <c r="O40" s="261" t="str">
        <f t="shared" si="25"/>
        <v>-</v>
      </c>
      <c r="P40" s="184"/>
      <c r="Q40" s="966">
        <v>0</v>
      </c>
      <c r="R40" s="966">
        <v>0</v>
      </c>
      <c r="S40" s="959">
        <f t="shared" si="26"/>
        <v>0</v>
      </c>
      <c r="T40" s="234" t="str">
        <f t="shared" si="27"/>
        <v>-</v>
      </c>
      <c r="U40" s="184"/>
      <c r="V40" s="962">
        <f t="shared" si="31"/>
        <v>0</v>
      </c>
      <c r="W40" s="962">
        <f t="shared" si="32"/>
        <v>0</v>
      </c>
      <c r="X40" s="959">
        <f t="shared" si="28"/>
        <v>0</v>
      </c>
      <c r="Y40" s="261" t="str">
        <f t="shared" si="29"/>
        <v>-</v>
      </c>
      <c r="Z40" s="188"/>
      <c r="AA40" s="450">
        <v>0</v>
      </c>
      <c r="AB40" s="478">
        <f t="shared" si="33"/>
        <v>0</v>
      </c>
      <c r="AC40" s="261" t="str">
        <f t="shared" si="34"/>
        <v>-</v>
      </c>
      <c r="AD40" s="191"/>
      <c r="AE40" s="209"/>
    </row>
    <row r="41" spans="1:31" x14ac:dyDescent="0.3">
      <c r="A41" s="199" t="s">
        <v>83</v>
      </c>
      <c r="B41" s="970">
        <f>SUM(B33:B40)</f>
        <v>0.11852525</v>
      </c>
      <c r="C41" s="971">
        <f>SUM(C33:C40)</f>
        <v>0.11747622000000001</v>
      </c>
      <c r="D41" s="971">
        <f>SUM(D33:D40)</f>
        <v>-1.0490299999999821E-3</v>
      </c>
      <c r="E41" s="237">
        <f t="shared" si="22"/>
        <v>-8.8506879335836213E-3</v>
      </c>
      <c r="F41" s="191"/>
      <c r="G41" s="970">
        <f>SUM(G33:G40)</f>
        <v>0.11852525</v>
      </c>
      <c r="H41" s="971">
        <f>SUM(H33:H40)</f>
        <v>0.11672505</v>
      </c>
      <c r="I41" s="971">
        <f>SUM(I33:I40)</f>
        <v>-1.8001999999999966E-3</v>
      </c>
      <c r="J41" s="237">
        <f t="shared" si="24"/>
        <v>-1.5188324850611971E-2</v>
      </c>
      <c r="K41" s="191"/>
      <c r="L41" s="970">
        <f>SUM(L33:L40)</f>
        <v>0.12</v>
      </c>
      <c r="M41" s="971">
        <f>SUM(M33:M40)</f>
        <v>0.12081085</v>
      </c>
      <c r="N41" s="971">
        <f>SUM(N33:N40)</f>
        <v>8.1085000000000705E-4</v>
      </c>
      <c r="O41" s="238">
        <f>IF(ISERROR(N41/L41),"-",N41/L41)</f>
        <v>6.7570833333333927E-3</v>
      </c>
      <c r="P41" s="191"/>
      <c r="Q41" s="970">
        <f>SUM(Q33:Q40)</f>
        <v>0.11852525</v>
      </c>
      <c r="R41" s="971">
        <f>SUM(R33:R40)</f>
        <v>0.14968204999999998</v>
      </c>
      <c r="S41" s="971">
        <f>SUM(S33:S40)</f>
        <v>3.1156800000000002E-2</v>
      </c>
      <c r="T41" s="238">
        <f t="shared" si="27"/>
        <v>0.26287056977310741</v>
      </c>
      <c r="U41" s="191"/>
      <c r="V41" s="970">
        <f>SUM(V33:V40)</f>
        <v>0.47557574999999996</v>
      </c>
      <c r="W41" s="971">
        <f>SUM(W33:W40)</f>
        <v>0.50469417000000005</v>
      </c>
      <c r="X41" s="971">
        <f>SUM(X33:X40)</f>
        <v>2.9118420000000082E-2</v>
      </c>
      <c r="Y41" s="238">
        <f t="shared" si="29"/>
        <v>6.1227722397536218E-2</v>
      </c>
      <c r="Z41" s="188"/>
      <c r="AA41" s="469">
        <f>SUM(AA33:AA40)</f>
        <v>455718.01544400002</v>
      </c>
      <c r="AB41" s="472">
        <f>SUM(AB33:AB40)</f>
        <v>9753.0400000000009</v>
      </c>
      <c r="AC41" s="264">
        <f t="shared" si="34"/>
        <v>2.1401480014999502E-2</v>
      </c>
      <c r="AD41" s="184"/>
      <c r="AE41" s="189"/>
    </row>
    <row r="42" spans="1:31" x14ac:dyDescent="0.3">
      <c r="A42" s="242"/>
      <c r="B42" s="990"/>
      <c r="C42" s="991"/>
      <c r="D42" s="991"/>
      <c r="E42" s="213"/>
      <c r="F42" s="184"/>
      <c r="G42" s="964"/>
      <c r="H42" s="965"/>
      <c r="I42" s="965"/>
      <c r="J42" s="216"/>
      <c r="K42" s="184"/>
      <c r="L42" s="990"/>
      <c r="M42" s="991"/>
      <c r="N42" s="991"/>
      <c r="O42" s="217"/>
      <c r="P42" s="184"/>
      <c r="Q42" s="964"/>
      <c r="R42" s="965"/>
      <c r="S42" s="965"/>
      <c r="T42" s="265"/>
      <c r="U42" s="184"/>
      <c r="V42" s="990"/>
      <c r="W42" s="991"/>
      <c r="X42" s="991"/>
      <c r="Y42" s="217"/>
      <c r="Z42" s="188"/>
      <c r="AA42" s="990"/>
      <c r="AB42" s="991"/>
      <c r="AC42" s="217"/>
      <c r="AD42" s="175"/>
      <c r="AE42" s="189"/>
    </row>
    <row r="43" spans="1:31" x14ac:dyDescent="0.3">
      <c r="A43" s="172" t="s">
        <v>84</v>
      </c>
      <c r="B43" s="992"/>
      <c r="C43" s="993"/>
      <c r="D43" s="993"/>
      <c r="E43" s="268"/>
      <c r="F43" s="175"/>
      <c r="G43" s="976"/>
      <c r="H43" s="977"/>
      <c r="I43" s="977"/>
      <c r="J43" s="271"/>
      <c r="K43" s="175"/>
      <c r="L43" s="992"/>
      <c r="M43" s="993"/>
      <c r="N43" s="993"/>
      <c r="O43" s="272"/>
      <c r="P43" s="175"/>
      <c r="Q43" s="976"/>
      <c r="R43" s="977"/>
      <c r="S43" s="977"/>
      <c r="T43" s="273"/>
      <c r="U43" s="175"/>
      <c r="V43" s="992"/>
      <c r="W43" s="993"/>
      <c r="X43" s="963"/>
      <c r="Y43" s="225"/>
      <c r="Z43" s="179"/>
      <c r="AA43" s="992"/>
      <c r="AB43" s="963"/>
      <c r="AC43" s="225"/>
      <c r="AD43" s="191"/>
      <c r="AE43" s="274"/>
    </row>
    <row r="44" spans="1:31" x14ac:dyDescent="0.3">
      <c r="A44" s="190" t="s">
        <v>85</v>
      </c>
      <c r="B44" s="962">
        <v>0</v>
      </c>
      <c r="C44" s="963">
        <v>0</v>
      </c>
      <c r="D44" s="959">
        <f t="shared" ref="D44:D75" si="35">C44-B44</f>
        <v>0</v>
      </c>
      <c r="E44" s="220" t="str">
        <f t="shared" ref="E44:E53" si="36">IF(ISERROR(D44/B44),"-",D44/B44)</f>
        <v>-</v>
      </c>
      <c r="F44" s="191"/>
      <c r="G44" s="966">
        <v>0</v>
      </c>
      <c r="H44" s="967">
        <v>0</v>
      </c>
      <c r="I44" s="959">
        <f t="shared" ref="I44:I75" si="37">H44-G44</f>
        <v>0</v>
      </c>
      <c r="J44" s="221" t="str">
        <f t="shared" ref="J44:J50" si="38">IF(ISERROR(I44/G44),"-",I44/G44)</f>
        <v>-</v>
      </c>
      <c r="K44" s="191"/>
      <c r="L44" s="962">
        <v>0</v>
      </c>
      <c r="M44" s="962">
        <v>0</v>
      </c>
      <c r="N44" s="959">
        <f>M44-L44</f>
        <v>0</v>
      </c>
      <c r="O44" s="222" t="str">
        <f t="shared" ref="O44:O72" si="39">IF(ISERROR(N44/L44),"-",N44/L44)</f>
        <v>-</v>
      </c>
      <c r="P44" s="191"/>
      <c r="Q44" s="966">
        <v>0</v>
      </c>
      <c r="R44" s="966">
        <v>2.5537999999999998E-4</v>
      </c>
      <c r="S44" s="959">
        <f t="shared" ref="S44:S75" si="40">R44-Q44</f>
        <v>2.5537999999999998E-4</v>
      </c>
      <c r="T44" s="223" t="str">
        <f t="shared" ref="T44:T72" si="41">IF(ISERROR(S44/Q44),"-",S44/Q44)</f>
        <v>-</v>
      </c>
      <c r="U44" s="191"/>
      <c r="V44" s="962">
        <f t="shared" ref="V44:V75" si="42">SUM(B44+G44+L44+Q44)</f>
        <v>0</v>
      </c>
      <c r="W44" s="962">
        <f>SUM(C44+H44+M44+R44)</f>
        <v>2.5537999999999998E-4</v>
      </c>
      <c r="X44" s="959">
        <f t="shared" ref="X44:X75" si="43">W44-V44</f>
        <v>2.5537999999999998E-4</v>
      </c>
      <c r="Y44" s="222" t="str">
        <f t="shared" ref="Y44:Y76" si="44">IF(ISERROR(X44/V44),"-",X44/V44)</f>
        <v>-</v>
      </c>
      <c r="Z44" s="188"/>
      <c r="AA44" s="450">
        <f>SUM(B44+G44+L44+Q44)</f>
        <v>0</v>
      </c>
      <c r="AB44" s="451">
        <f>AA44-W44</f>
        <v>-2.5537999999999998E-4</v>
      </c>
      <c r="AC44" s="222" t="str">
        <f t="shared" ref="AC44:AC76" si="45">IF(ISERROR(AB44/AA44),"-",AB44/AA44)</f>
        <v>-</v>
      </c>
      <c r="AD44" s="256"/>
      <c r="AE44" s="189"/>
    </row>
    <row r="45" spans="1:31" x14ac:dyDescent="0.3">
      <c r="A45" s="190" t="s">
        <v>128</v>
      </c>
      <c r="B45" s="962">
        <v>2.1250000000000002E-2</v>
      </c>
      <c r="C45" s="994">
        <v>2.5537800000000003E-3</v>
      </c>
      <c r="D45" s="959">
        <f t="shared" si="35"/>
        <v>-1.869622E-2</v>
      </c>
      <c r="E45" s="220">
        <f t="shared" si="36"/>
        <v>-0.87982211764705875</v>
      </c>
      <c r="F45" s="256"/>
      <c r="G45" s="966">
        <v>2.1250000000000002E-2</v>
      </c>
      <c r="H45" s="967">
        <v>3.83067E-3</v>
      </c>
      <c r="I45" s="959">
        <f t="shared" si="37"/>
        <v>-1.741933E-2</v>
      </c>
      <c r="J45" s="221">
        <f t="shared" si="38"/>
        <v>-0.81973317647058819</v>
      </c>
      <c r="K45" s="256"/>
      <c r="L45" s="962">
        <v>0.02</v>
      </c>
      <c r="M45" s="962">
        <v>3.83067E-3</v>
      </c>
      <c r="N45" s="959">
        <f>M45-L45</f>
        <v>-1.6169329999999999E-2</v>
      </c>
      <c r="O45" s="222">
        <f t="shared" si="39"/>
        <v>-0.80846649999999998</v>
      </c>
      <c r="P45" s="256"/>
      <c r="Q45" s="966">
        <v>2.1250000000000002E-2</v>
      </c>
      <c r="R45" s="966">
        <v>6.2913270000000007E-2</v>
      </c>
      <c r="S45" s="959">
        <f t="shared" si="40"/>
        <v>4.1663270000000002E-2</v>
      </c>
      <c r="T45" s="223">
        <f t="shared" si="41"/>
        <v>1.9606244705882352</v>
      </c>
      <c r="U45" s="256"/>
      <c r="V45" s="962">
        <f t="shared" si="42"/>
        <v>8.3750000000000005E-2</v>
      </c>
      <c r="W45" s="962">
        <f>SUM(C45+H45+M45+R45)</f>
        <v>7.3128390000000001E-2</v>
      </c>
      <c r="X45" s="959">
        <f t="shared" si="43"/>
        <v>-1.0621610000000004E-2</v>
      </c>
      <c r="Y45" s="222">
        <f>IF(ISERROR(X45/V45),"-",X45/V45)</f>
        <v>-0.12682519402985079</v>
      </c>
      <c r="Z45" s="257"/>
      <c r="AA45" s="1269">
        <v>85000</v>
      </c>
      <c r="AB45" s="963">
        <v>0.02</v>
      </c>
      <c r="AC45" s="222">
        <f t="shared" si="45"/>
        <v>2.3529411764705883E-7</v>
      </c>
      <c r="AD45" s="256"/>
      <c r="AE45" s="189"/>
    </row>
    <row r="46" spans="1:31" x14ac:dyDescent="0.3">
      <c r="A46" s="190" t="s">
        <v>127</v>
      </c>
      <c r="B46" s="962">
        <v>0</v>
      </c>
      <c r="C46" s="994">
        <v>0</v>
      </c>
      <c r="D46" s="959">
        <f t="shared" si="35"/>
        <v>0</v>
      </c>
      <c r="E46" s="220" t="str">
        <f t="shared" si="36"/>
        <v>-</v>
      </c>
      <c r="F46" s="256"/>
      <c r="G46" s="966">
        <v>0</v>
      </c>
      <c r="H46" s="967">
        <v>0</v>
      </c>
      <c r="I46" s="959">
        <f t="shared" si="37"/>
        <v>0</v>
      </c>
      <c r="J46" s="221" t="str">
        <f t="shared" si="38"/>
        <v>-</v>
      </c>
      <c r="K46" s="256"/>
      <c r="L46" s="962">
        <v>0</v>
      </c>
      <c r="M46" s="962">
        <v>0</v>
      </c>
      <c r="N46" s="959">
        <f t="shared" ref="N46:N75" si="46">M46-L46</f>
        <v>0</v>
      </c>
      <c r="O46" s="222" t="str">
        <f t="shared" si="39"/>
        <v>-</v>
      </c>
      <c r="P46" s="256"/>
      <c r="Q46" s="966">
        <v>0</v>
      </c>
      <c r="R46" s="966">
        <v>0</v>
      </c>
      <c r="S46" s="959">
        <f t="shared" si="40"/>
        <v>0</v>
      </c>
      <c r="T46" s="223" t="str">
        <f t="shared" si="41"/>
        <v>-</v>
      </c>
      <c r="U46" s="256"/>
      <c r="V46" s="962">
        <f t="shared" si="42"/>
        <v>0</v>
      </c>
      <c r="W46" s="962">
        <f t="shared" ref="W46:W75" si="47">SUM(C46+H46+M46+R46)</f>
        <v>0</v>
      </c>
      <c r="X46" s="959">
        <f t="shared" si="43"/>
        <v>0</v>
      </c>
      <c r="Y46" s="222" t="str">
        <f t="shared" si="44"/>
        <v>-</v>
      </c>
      <c r="Z46" s="257"/>
      <c r="AA46" s="450">
        <v>0</v>
      </c>
      <c r="AB46" s="451">
        <f t="shared" ref="AB46:AB75" si="48">AA46-W46</f>
        <v>0</v>
      </c>
      <c r="AC46" s="222" t="str">
        <f t="shared" si="45"/>
        <v>-</v>
      </c>
      <c r="AD46" s="256"/>
      <c r="AE46" s="274"/>
    </row>
    <row r="47" spans="1:31" x14ac:dyDescent="0.3">
      <c r="A47" s="190" t="s">
        <v>86</v>
      </c>
      <c r="B47" s="962">
        <v>2.5000000000000001E-4</v>
      </c>
      <c r="C47" s="994">
        <v>1.485E-4</v>
      </c>
      <c r="D47" s="959">
        <f t="shared" si="35"/>
        <v>-1.015E-4</v>
      </c>
      <c r="E47" s="220">
        <f t="shared" si="36"/>
        <v>-0.40599999999999997</v>
      </c>
      <c r="F47" s="256"/>
      <c r="G47" s="966">
        <v>2.5000000000000001E-4</v>
      </c>
      <c r="H47" s="967">
        <v>2.9700000000000001E-4</v>
      </c>
      <c r="I47" s="959">
        <f t="shared" si="37"/>
        <v>4.7000000000000004E-5</v>
      </c>
      <c r="J47" s="221">
        <f t="shared" si="38"/>
        <v>0.188</v>
      </c>
      <c r="K47" s="256"/>
      <c r="L47" s="962">
        <v>0</v>
      </c>
      <c r="M47" s="962">
        <v>1.6799999999999999E-4</v>
      </c>
      <c r="N47" s="959">
        <f t="shared" si="46"/>
        <v>1.6799999999999999E-4</v>
      </c>
      <c r="O47" s="222" t="str">
        <f t="shared" si="39"/>
        <v>-</v>
      </c>
      <c r="P47" s="256"/>
      <c r="Q47" s="966">
        <v>2.5000000000000001E-4</v>
      </c>
      <c r="R47" s="966">
        <v>4.4549999999999999E-4</v>
      </c>
      <c r="S47" s="959">
        <f t="shared" si="40"/>
        <v>1.9549999999999998E-4</v>
      </c>
      <c r="T47" s="223">
        <f t="shared" si="41"/>
        <v>0.78199999999999992</v>
      </c>
      <c r="U47" s="256"/>
      <c r="V47" s="962">
        <f t="shared" si="42"/>
        <v>7.5000000000000002E-4</v>
      </c>
      <c r="W47" s="962">
        <f t="shared" si="47"/>
        <v>1.059E-3</v>
      </c>
      <c r="X47" s="959">
        <f t="shared" si="43"/>
        <v>3.0900000000000003E-4</v>
      </c>
      <c r="Y47" s="222">
        <f t="shared" si="44"/>
        <v>0.41200000000000003</v>
      </c>
      <c r="Z47" s="257"/>
      <c r="AA47" s="450">
        <v>0</v>
      </c>
      <c r="AB47" s="451">
        <f t="shared" si="48"/>
        <v>-1.059E-3</v>
      </c>
      <c r="AC47" s="222" t="str">
        <f t="shared" si="45"/>
        <v>-</v>
      </c>
      <c r="AD47" s="256"/>
      <c r="AE47" s="189"/>
    </row>
    <row r="48" spans="1:31" x14ac:dyDescent="0.3">
      <c r="A48" s="190" t="s">
        <v>87</v>
      </c>
      <c r="B48" s="962">
        <v>1.545E-2</v>
      </c>
      <c r="C48" s="962">
        <v>1.545E-2</v>
      </c>
      <c r="D48" s="959">
        <f t="shared" si="35"/>
        <v>0</v>
      </c>
      <c r="E48" s="220">
        <f t="shared" si="36"/>
        <v>0</v>
      </c>
      <c r="F48" s="256"/>
      <c r="G48" s="966">
        <v>1.545E-2</v>
      </c>
      <c r="H48" s="967">
        <v>1.26E-2</v>
      </c>
      <c r="I48" s="959">
        <f t="shared" si="37"/>
        <v>-2.8500000000000001E-3</v>
      </c>
      <c r="J48" s="221">
        <f t="shared" si="38"/>
        <v>-0.18446601941747573</v>
      </c>
      <c r="K48" s="256"/>
      <c r="L48" s="962">
        <v>0.02</v>
      </c>
      <c r="M48" s="962">
        <v>1.09E-2</v>
      </c>
      <c r="N48" s="959">
        <f t="shared" si="46"/>
        <v>-9.1000000000000004E-3</v>
      </c>
      <c r="O48" s="222">
        <f t="shared" si="39"/>
        <v>-0.45500000000000002</v>
      </c>
      <c r="P48" s="256"/>
      <c r="Q48" s="966">
        <v>1.545E-2</v>
      </c>
      <c r="R48" s="966">
        <v>1.7149999999999999E-2</v>
      </c>
      <c r="S48" s="959">
        <f t="shared" si="40"/>
        <v>1.6999999999999984E-3</v>
      </c>
      <c r="T48" s="223">
        <f t="shared" si="41"/>
        <v>0.11003236245954683</v>
      </c>
      <c r="U48" s="256"/>
      <c r="V48" s="962">
        <f>SUM(B48+G48+L48+Q48)</f>
        <v>6.6350000000000006E-2</v>
      </c>
      <c r="W48" s="962">
        <f t="shared" si="47"/>
        <v>5.6099999999999997E-2</v>
      </c>
      <c r="X48" s="959">
        <f t="shared" si="43"/>
        <v>-1.0250000000000009E-2</v>
      </c>
      <c r="Y48" s="222">
        <f t="shared" si="44"/>
        <v>-0.15448379804069343</v>
      </c>
      <c r="Z48" s="257"/>
      <c r="AA48" s="450">
        <v>0</v>
      </c>
      <c r="AB48" s="963">
        <v>-0.06</v>
      </c>
      <c r="AC48" s="222" t="str">
        <f t="shared" si="45"/>
        <v>-</v>
      </c>
      <c r="AD48" s="191"/>
      <c r="AE48" s="274"/>
    </row>
    <row r="49" spans="1:31" x14ac:dyDescent="0.3">
      <c r="A49" s="190" t="s">
        <v>88</v>
      </c>
      <c r="B49" s="962">
        <v>3.7499999999999999E-3</v>
      </c>
      <c r="C49" s="994">
        <v>3.53506E-3</v>
      </c>
      <c r="D49" s="959">
        <f t="shared" si="35"/>
        <v>-2.1493999999999984E-4</v>
      </c>
      <c r="E49" s="220">
        <f t="shared" si="36"/>
        <v>-5.731733333333329E-2</v>
      </c>
      <c r="F49" s="191"/>
      <c r="G49" s="966">
        <v>3.7499999999999999E-3</v>
      </c>
      <c r="H49" s="967">
        <v>3.5989899999999998E-3</v>
      </c>
      <c r="I49" s="959">
        <f t="shared" si="37"/>
        <v>-1.5101000000000003E-4</v>
      </c>
      <c r="J49" s="221">
        <f t="shared" si="38"/>
        <v>-4.0269333333333344E-2</v>
      </c>
      <c r="K49" s="191"/>
      <c r="L49" s="962">
        <v>0</v>
      </c>
      <c r="M49" s="962">
        <v>2.9811099999999999E-3</v>
      </c>
      <c r="N49" s="959">
        <f t="shared" si="46"/>
        <v>2.9811099999999999E-3</v>
      </c>
      <c r="O49" s="222" t="str">
        <f t="shared" si="39"/>
        <v>-</v>
      </c>
      <c r="P49" s="191"/>
      <c r="Q49" s="966">
        <v>3.7499999999999999E-3</v>
      </c>
      <c r="R49" s="966">
        <v>3.5112699999999999E-3</v>
      </c>
      <c r="S49" s="959">
        <f t="shared" si="40"/>
        <v>-2.3872999999999993E-4</v>
      </c>
      <c r="T49" s="223">
        <f t="shared" si="41"/>
        <v>-6.366133333333332E-2</v>
      </c>
      <c r="U49" s="191"/>
      <c r="V49" s="962">
        <f t="shared" si="42"/>
        <v>1.125E-2</v>
      </c>
      <c r="W49" s="962">
        <f t="shared" si="47"/>
        <v>1.362643E-2</v>
      </c>
      <c r="X49" s="959">
        <f t="shared" si="43"/>
        <v>2.3764300000000006E-3</v>
      </c>
      <c r="Y49" s="222">
        <f t="shared" si="44"/>
        <v>0.21123822222222227</v>
      </c>
      <c r="Z49" s="188"/>
      <c r="AA49" s="1269">
        <v>15000</v>
      </c>
      <c r="AB49" s="451">
        <f>AA49-W49</f>
        <v>14999.98637357</v>
      </c>
      <c r="AC49" s="222">
        <f t="shared" si="45"/>
        <v>0.99999909157133338</v>
      </c>
      <c r="AD49" s="191"/>
      <c r="AE49" s="274"/>
    </row>
    <row r="50" spans="1:31" x14ac:dyDescent="0.3">
      <c r="A50" s="190" t="s">
        <v>89</v>
      </c>
      <c r="B50" s="962">
        <v>0</v>
      </c>
      <c r="C50" s="963">
        <v>0</v>
      </c>
      <c r="D50" s="959">
        <f t="shared" si="35"/>
        <v>0</v>
      </c>
      <c r="E50" s="220" t="str">
        <f t="shared" si="36"/>
        <v>-</v>
      </c>
      <c r="F50" s="191"/>
      <c r="G50" s="966">
        <v>0</v>
      </c>
      <c r="H50" s="967">
        <v>0</v>
      </c>
      <c r="I50" s="959">
        <f t="shared" si="37"/>
        <v>0</v>
      </c>
      <c r="J50" s="221" t="str">
        <f t="shared" si="38"/>
        <v>-</v>
      </c>
      <c r="K50" s="191"/>
      <c r="L50" s="962">
        <v>0</v>
      </c>
      <c r="M50" s="962">
        <v>0</v>
      </c>
      <c r="N50" s="959">
        <f t="shared" si="46"/>
        <v>0</v>
      </c>
      <c r="O50" s="222" t="str">
        <f t="shared" si="39"/>
        <v>-</v>
      </c>
      <c r="P50" s="191"/>
      <c r="Q50" s="966">
        <v>0</v>
      </c>
      <c r="R50" s="966">
        <v>0</v>
      </c>
      <c r="S50" s="959">
        <f t="shared" si="40"/>
        <v>0</v>
      </c>
      <c r="T50" s="223" t="str">
        <f t="shared" si="41"/>
        <v>-</v>
      </c>
      <c r="U50" s="191"/>
      <c r="V50" s="962">
        <f t="shared" si="42"/>
        <v>0</v>
      </c>
      <c r="W50" s="962">
        <f t="shared" si="47"/>
        <v>0</v>
      </c>
      <c r="X50" s="959">
        <f t="shared" si="43"/>
        <v>0</v>
      </c>
      <c r="Y50" s="222" t="str">
        <f t="shared" si="44"/>
        <v>-</v>
      </c>
      <c r="Z50" s="188"/>
      <c r="AA50" s="450">
        <v>0</v>
      </c>
      <c r="AB50" s="451">
        <f t="shared" si="48"/>
        <v>0</v>
      </c>
      <c r="AC50" s="222" t="str">
        <f t="shared" si="45"/>
        <v>-</v>
      </c>
      <c r="AD50" s="191"/>
      <c r="AE50" s="274"/>
    </row>
    <row r="51" spans="1:31" x14ac:dyDescent="0.3">
      <c r="A51" s="190" t="s">
        <v>113</v>
      </c>
      <c r="B51" s="962">
        <v>0</v>
      </c>
      <c r="C51" s="963">
        <v>0</v>
      </c>
      <c r="D51" s="959">
        <f t="shared" si="35"/>
        <v>0</v>
      </c>
      <c r="E51" s="220" t="str">
        <f t="shared" si="36"/>
        <v>-</v>
      </c>
      <c r="F51" s="191"/>
      <c r="G51" s="966">
        <v>0</v>
      </c>
      <c r="H51" s="967">
        <v>0</v>
      </c>
      <c r="I51" s="959">
        <f t="shared" si="37"/>
        <v>0</v>
      </c>
      <c r="J51" s="221"/>
      <c r="K51" s="191"/>
      <c r="L51" s="962">
        <v>0</v>
      </c>
      <c r="M51" s="962">
        <v>0</v>
      </c>
      <c r="N51" s="959">
        <f t="shared" si="46"/>
        <v>0</v>
      </c>
      <c r="O51" s="222"/>
      <c r="P51" s="191"/>
      <c r="Q51" s="966">
        <v>0</v>
      </c>
      <c r="R51" s="966">
        <v>0</v>
      </c>
      <c r="S51" s="959">
        <f t="shared" si="40"/>
        <v>0</v>
      </c>
      <c r="T51" s="223"/>
      <c r="U51" s="191"/>
      <c r="V51" s="962">
        <f t="shared" si="42"/>
        <v>0</v>
      </c>
      <c r="W51" s="962">
        <f t="shared" si="47"/>
        <v>0</v>
      </c>
      <c r="X51" s="959">
        <f t="shared" si="43"/>
        <v>0</v>
      </c>
      <c r="Y51" s="222"/>
      <c r="Z51" s="188"/>
      <c r="AA51" s="450">
        <v>0</v>
      </c>
      <c r="AB51" s="451">
        <f t="shared" si="48"/>
        <v>0</v>
      </c>
      <c r="AC51" s="222" t="str">
        <f t="shared" si="45"/>
        <v>-</v>
      </c>
      <c r="AD51" s="256"/>
      <c r="AE51" s="189"/>
    </row>
    <row r="52" spans="1:31" x14ac:dyDescent="0.3">
      <c r="A52" s="190" t="s">
        <v>126</v>
      </c>
      <c r="B52" s="962">
        <v>0</v>
      </c>
      <c r="C52" s="963">
        <v>0</v>
      </c>
      <c r="D52" s="959">
        <f t="shared" si="35"/>
        <v>0</v>
      </c>
      <c r="E52" s="220" t="str">
        <f t="shared" si="36"/>
        <v>-</v>
      </c>
      <c r="F52" s="256"/>
      <c r="G52" s="966">
        <v>0</v>
      </c>
      <c r="H52" s="967">
        <v>0</v>
      </c>
      <c r="I52" s="959">
        <f t="shared" si="37"/>
        <v>0</v>
      </c>
      <c r="J52" s="221" t="str">
        <f>IF(ISERROR(I52/G52),"-",I52/G52)</f>
        <v>-</v>
      </c>
      <c r="K52" s="256"/>
      <c r="L52" s="962">
        <v>0</v>
      </c>
      <c r="M52" s="962">
        <v>0</v>
      </c>
      <c r="N52" s="959">
        <f t="shared" si="46"/>
        <v>0</v>
      </c>
      <c r="O52" s="222" t="str">
        <f t="shared" si="39"/>
        <v>-</v>
      </c>
      <c r="P52" s="256"/>
      <c r="Q52" s="966">
        <v>0</v>
      </c>
      <c r="R52" s="966">
        <v>6.95606E-3</v>
      </c>
      <c r="S52" s="959">
        <f t="shared" si="40"/>
        <v>6.95606E-3</v>
      </c>
      <c r="T52" s="223" t="str">
        <f t="shared" si="41"/>
        <v>-</v>
      </c>
      <c r="U52" s="256"/>
      <c r="V52" s="962">
        <f t="shared" si="42"/>
        <v>0</v>
      </c>
      <c r="W52" s="962">
        <f t="shared" si="47"/>
        <v>6.95606E-3</v>
      </c>
      <c r="X52" s="959">
        <f t="shared" si="43"/>
        <v>6.95606E-3</v>
      </c>
      <c r="Y52" s="222" t="str">
        <f t="shared" si="44"/>
        <v>-</v>
      </c>
      <c r="Z52" s="257"/>
      <c r="AA52" s="450">
        <v>0</v>
      </c>
      <c r="AB52" s="963">
        <f t="shared" si="48"/>
        <v>-6.95606E-3</v>
      </c>
      <c r="AC52" s="222" t="str">
        <f t="shared" si="45"/>
        <v>-</v>
      </c>
      <c r="AD52" s="256"/>
      <c r="AE52" s="193"/>
    </row>
    <row r="53" spans="1:31" x14ac:dyDescent="0.3">
      <c r="A53" s="190" t="s">
        <v>82</v>
      </c>
      <c r="B53" s="962">
        <v>0</v>
      </c>
      <c r="C53" s="963">
        <v>0</v>
      </c>
      <c r="D53" s="959">
        <f t="shared" si="35"/>
        <v>0</v>
      </c>
      <c r="E53" s="220" t="str">
        <f t="shared" si="36"/>
        <v>-</v>
      </c>
      <c r="F53" s="256"/>
      <c r="G53" s="966">
        <v>0</v>
      </c>
      <c r="H53" s="967">
        <v>0</v>
      </c>
      <c r="I53" s="959">
        <f t="shared" si="37"/>
        <v>0</v>
      </c>
      <c r="J53" s="221" t="str">
        <f>IF(ISERROR(I53/G53),"-",I53/G53)</f>
        <v>-</v>
      </c>
      <c r="K53" s="256"/>
      <c r="L53" s="962">
        <v>0</v>
      </c>
      <c r="M53" s="962">
        <v>0</v>
      </c>
      <c r="N53" s="959">
        <f t="shared" si="46"/>
        <v>0</v>
      </c>
      <c r="O53" s="222" t="str">
        <f t="shared" si="39"/>
        <v>-</v>
      </c>
      <c r="P53" s="256"/>
      <c r="Q53" s="966">
        <v>0</v>
      </c>
      <c r="R53" s="966">
        <v>0</v>
      </c>
      <c r="S53" s="959">
        <f t="shared" si="40"/>
        <v>0</v>
      </c>
      <c r="T53" s="223" t="str">
        <f t="shared" si="41"/>
        <v>-</v>
      </c>
      <c r="U53" s="256"/>
      <c r="V53" s="962">
        <f t="shared" si="42"/>
        <v>0</v>
      </c>
      <c r="W53" s="962">
        <f>SUM(C53+H53+M53+R53)</f>
        <v>0</v>
      </c>
      <c r="X53" s="959">
        <f t="shared" si="43"/>
        <v>0</v>
      </c>
      <c r="Y53" s="222" t="str">
        <f t="shared" si="44"/>
        <v>-</v>
      </c>
      <c r="Z53" s="257"/>
      <c r="AA53" s="1269">
        <v>61800</v>
      </c>
      <c r="AB53" s="451">
        <f>AA53-W53</f>
        <v>61800</v>
      </c>
      <c r="AC53" s="222">
        <f t="shared" si="45"/>
        <v>1</v>
      </c>
      <c r="AD53" s="256"/>
      <c r="AE53" s="193"/>
    </row>
    <row r="54" spans="1:31" x14ac:dyDescent="0.3">
      <c r="A54" s="190" t="s">
        <v>125</v>
      </c>
      <c r="B54" s="962">
        <v>0</v>
      </c>
      <c r="C54" s="963">
        <v>0</v>
      </c>
      <c r="D54" s="959">
        <f t="shared" si="35"/>
        <v>0</v>
      </c>
      <c r="E54" s="220"/>
      <c r="F54" s="256"/>
      <c r="G54" s="966">
        <v>0</v>
      </c>
      <c r="H54" s="967">
        <v>0</v>
      </c>
      <c r="I54" s="959">
        <f t="shared" si="37"/>
        <v>0</v>
      </c>
      <c r="J54" s="221"/>
      <c r="K54" s="256"/>
      <c r="L54" s="962">
        <v>0</v>
      </c>
      <c r="M54" s="962">
        <v>0</v>
      </c>
      <c r="N54" s="959">
        <f t="shared" si="46"/>
        <v>0</v>
      </c>
      <c r="O54" s="222"/>
      <c r="P54" s="256"/>
      <c r="Q54" s="966">
        <v>0</v>
      </c>
      <c r="R54" s="966">
        <v>0</v>
      </c>
      <c r="S54" s="959">
        <f t="shared" si="40"/>
        <v>0</v>
      </c>
      <c r="T54" s="223"/>
      <c r="U54" s="256"/>
      <c r="V54" s="962">
        <f t="shared" si="42"/>
        <v>0</v>
      </c>
      <c r="W54" s="962">
        <f t="shared" si="47"/>
        <v>0</v>
      </c>
      <c r="X54" s="959">
        <f t="shared" si="43"/>
        <v>0</v>
      </c>
      <c r="Y54" s="222"/>
      <c r="Z54" s="257"/>
      <c r="AA54" s="450">
        <v>0</v>
      </c>
      <c r="AB54" s="451">
        <f t="shared" si="48"/>
        <v>0</v>
      </c>
      <c r="AC54" s="222" t="str">
        <f t="shared" si="45"/>
        <v>-</v>
      </c>
      <c r="AD54" s="256"/>
      <c r="AE54" s="193"/>
    </row>
    <row r="55" spans="1:31" x14ac:dyDescent="0.3">
      <c r="A55" s="190" t="s">
        <v>90</v>
      </c>
      <c r="B55" s="962">
        <v>0</v>
      </c>
      <c r="C55" s="963">
        <v>0</v>
      </c>
      <c r="D55" s="959">
        <f t="shared" si="35"/>
        <v>0</v>
      </c>
      <c r="E55" s="220" t="str">
        <f t="shared" ref="E55:E76" si="49">IF(ISERROR(D55/B55),"-",D55/B55)</f>
        <v>-</v>
      </c>
      <c r="F55" s="256"/>
      <c r="G55" s="966">
        <v>0</v>
      </c>
      <c r="H55" s="967">
        <v>0</v>
      </c>
      <c r="I55" s="959">
        <f t="shared" si="37"/>
        <v>0</v>
      </c>
      <c r="J55" s="221" t="str">
        <f t="shared" ref="J55:J76" si="50">IF(ISERROR(I55/G55),"-",I55/G55)</f>
        <v>-</v>
      </c>
      <c r="K55" s="256"/>
      <c r="L55" s="962">
        <v>0</v>
      </c>
      <c r="M55" s="962">
        <v>0</v>
      </c>
      <c r="N55" s="959">
        <f t="shared" si="46"/>
        <v>0</v>
      </c>
      <c r="O55" s="222" t="str">
        <f t="shared" si="39"/>
        <v>-</v>
      </c>
      <c r="P55" s="256"/>
      <c r="Q55" s="966">
        <v>0</v>
      </c>
      <c r="R55" s="966">
        <v>0</v>
      </c>
      <c r="S55" s="959">
        <f t="shared" si="40"/>
        <v>0</v>
      </c>
      <c r="T55" s="223" t="str">
        <f t="shared" si="41"/>
        <v>-</v>
      </c>
      <c r="U55" s="256"/>
      <c r="V55" s="962">
        <f t="shared" si="42"/>
        <v>0</v>
      </c>
      <c r="W55" s="962">
        <f t="shared" si="47"/>
        <v>0</v>
      </c>
      <c r="X55" s="959">
        <f t="shared" si="43"/>
        <v>0</v>
      </c>
      <c r="Y55" s="222" t="str">
        <f t="shared" si="44"/>
        <v>-</v>
      </c>
      <c r="Z55" s="257"/>
      <c r="AA55" s="450">
        <v>0</v>
      </c>
      <c r="AB55" s="451">
        <v>0</v>
      </c>
      <c r="AC55" s="222" t="str">
        <f t="shared" si="45"/>
        <v>-</v>
      </c>
      <c r="AD55" s="256"/>
      <c r="AE55" s="189"/>
    </row>
    <row r="56" spans="1:31" x14ac:dyDescent="0.3">
      <c r="A56" s="190" t="s">
        <v>91</v>
      </c>
      <c r="B56" s="962">
        <v>7.5000000000000002E-4</v>
      </c>
      <c r="C56" s="963">
        <v>3.3721000000000001E-4</v>
      </c>
      <c r="D56" s="959">
        <f t="shared" si="35"/>
        <v>-4.1279000000000001E-4</v>
      </c>
      <c r="E56" s="220">
        <f t="shared" si="49"/>
        <v>-0.55038666666666669</v>
      </c>
      <c r="F56" s="256"/>
      <c r="G56" s="966">
        <v>7.5000000000000002E-4</v>
      </c>
      <c r="H56" s="967">
        <v>0</v>
      </c>
      <c r="I56" s="959">
        <f t="shared" si="37"/>
        <v>-7.5000000000000002E-4</v>
      </c>
      <c r="J56" s="221">
        <f t="shared" si="50"/>
        <v>-1</v>
      </c>
      <c r="K56" s="256"/>
      <c r="L56" s="962">
        <v>0</v>
      </c>
      <c r="M56" s="962">
        <v>0</v>
      </c>
      <c r="N56" s="959">
        <f t="shared" si="46"/>
        <v>0</v>
      </c>
      <c r="O56" s="222" t="str">
        <f t="shared" si="39"/>
        <v>-</v>
      </c>
      <c r="P56" s="256"/>
      <c r="Q56" s="966">
        <v>7.5000000000000002E-4</v>
      </c>
      <c r="R56" s="966">
        <v>0</v>
      </c>
      <c r="S56" s="959">
        <f t="shared" si="40"/>
        <v>-7.5000000000000002E-4</v>
      </c>
      <c r="T56" s="223">
        <f t="shared" si="41"/>
        <v>-1</v>
      </c>
      <c r="U56" s="256"/>
      <c r="V56" s="962">
        <f t="shared" si="42"/>
        <v>2.2500000000000003E-3</v>
      </c>
      <c r="W56" s="962">
        <f>SUM(C56+H56+M56+R56)</f>
        <v>3.3721000000000001E-4</v>
      </c>
      <c r="X56" s="959">
        <f t="shared" si="43"/>
        <v>-1.9127900000000001E-3</v>
      </c>
      <c r="Y56" s="222">
        <f>IF(ISERROR(X56/V56),"-",X56/V56)</f>
        <v>-0.85012888888888882</v>
      </c>
      <c r="Z56" s="257"/>
      <c r="AA56" s="450">
        <v>0</v>
      </c>
      <c r="AB56" s="451">
        <f t="shared" si="48"/>
        <v>-3.3721000000000001E-4</v>
      </c>
      <c r="AC56" s="222" t="str">
        <f t="shared" si="45"/>
        <v>-</v>
      </c>
      <c r="AD56" s="256"/>
      <c r="AE56" s="189"/>
    </row>
    <row r="57" spans="1:31" x14ac:dyDescent="0.3">
      <c r="A57" s="190" t="s">
        <v>92</v>
      </c>
      <c r="B57" s="962">
        <v>0</v>
      </c>
      <c r="C57" s="963">
        <v>0</v>
      </c>
      <c r="D57" s="959">
        <f t="shared" si="35"/>
        <v>0</v>
      </c>
      <c r="E57" s="220" t="str">
        <f t="shared" si="49"/>
        <v>-</v>
      </c>
      <c r="F57" s="256"/>
      <c r="G57" s="966">
        <v>0</v>
      </c>
      <c r="H57" s="967">
        <v>0</v>
      </c>
      <c r="I57" s="959">
        <f t="shared" si="37"/>
        <v>0</v>
      </c>
      <c r="J57" s="221" t="str">
        <f t="shared" si="50"/>
        <v>-</v>
      </c>
      <c r="K57" s="256"/>
      <c r="L57" s="962">
        <v>0</v>
      </c>
      <c r="M57" s="962">
        <v>0</v>
      </c>
      <c r="N57" s="959">
        <f t="shared" si="46"/>
        <v>0</v>
      </c>
      <c r="O57" s="222" t="str">
        <f t="shared" si="39"/>
        <v>-</v>
      </c>
      <c r="P57" s="256"/>
      <c r="Q57" s="966">
        <v>0</v>
      </c>
      <c r="R57" s="966">
        <v>0</v>
      </c>
      <c r="S57" s="959">
        <f t="shared" si="40"/>
        <v>0</v>
      </c>
      <c r="T57" s="223" t="str">
        <f t="shared" si="41"/>
        <v>-</v>
      </c>
      <c r="U57" s="256"/>
      <c r="V57" s="962">
        <f t="shared" si="42"/>
        <v>0</v>
      </c>
      <c r="W57" s="962">
        <f t="shared" si="47"/>
        <v>0</v>
      </c>
      <c r="X57" s="959">
        <f t="shared" si="43"/>
        <v>0</v>
      </c>
      <c r="Y57" s="222" t="str">
        <f t="shared" si="44"/>
        <v>-</v>
      </c>
      <c r="Z57" s="257"/>
      <c r="AA57" s="450">
        <v>0</v>
      </c>
      <c r="AB57" s="451">
        <f t="shared" si="48"/>
        <v>0</v>
      </c>
      <c r="AC57" s="222" t="str">
        <f t="shared" si="45"/>
        <v>-</v>
      </c>
      <c r="AD57" s="256"/>
      <c r="AE57" s="193"/>
    </row>
    <row r="58" spans="1:31" x14ac:dyDescent="0.3">
      <c r="A58" s="190" t="s">
        <v>93</v>
      </c>
      <c r="B58" s="962">
        <v>3.5000000000000001E-3</v>
      </c>
      <c r="C58" s="963">
        <v>0</v>
      </c>
      <c r="D58" s="959">
        <f t="shared" si="35"/>
        <v>-3.5000000000000001E-3</v>
      </c>
      <c r="E58" s="220">
        <f t="shared" si="49"/>
        <v>-1</v>
      </c>
      <c r="F58" s="256"/>
      <c r="G58" s="966">
        <v>3.5000000000000001E-3</v>
      </c>
      <c r="H58" s="967">
        <v>0</v>
      </c>
      <c r="I58" s="959">
        <f t="shared" si="37"/>
        <v>-3.5000000000000001E-3</v>
      </c>
      <c r="J58" s="221">
        <f t="shared" si="50"/>
        <v>-1</v>
      </c>
      <c r="K58" s="256"/>
      <c r="L58" s="962">
        <v>0</v>
      </c>
      <c r="M58" s="962">
        <v>0</v>
      </c>
      <c r="N58" s="959">
        <f t="shared" si="46"/>
        <v>0</v>
      </c>
      <c r="O58" s="222" t="str">
        <f t="shared" si="39"/>
        <v>-</v>
      </c>
      <c r="P58" s="256"/>
      <c r="Q58" s="966">
        <v>3.5000000000000001E-3</v>
      </c>
      <c r="R58" s="966">
        <v>0</v>
      </c>
      <c r="S58" s="959">
        <f t="shared" si="40"/>
        <v>-3.5000000000000001E-3</v>
      </c>
      <c r="T58" s="223">
        <f t="shared" si="41"/>
        <v>-1</v>
      </c>
      <c r="U58" s="256"/>
      <c r="V58" s="962">
        <f>SUM(B58+G58+L58+Q58)</f>
        <v>1.0500000000000001E-2</v>
      </c>
      <c r="W58" s="962">
        <f t="shared" si="47"/>
        <v>0</v>
      </c>
      <c r="X58" s="959">
        <f t="shared" si="43"/>
        <v>-1.0500000000000001E-2</v>
      </c>
      <c r="Y58" s="222">
        <f t="shared" si="44"/>
        <v>-1</v>
      </c>
      <c r="Z58" s="257"/>
      <c r="AA58" s="450">
        <v>0</v>
      </c>
      <c r="AB58" s="451">
        <f t="shared" si="48"/>
        <v>0</v>
      </c>
      <c r="AC58" s="222" t="str">
        <f t="shared" si="45"/>
        <v>-</v>
      </c>
      <c r="AD58" s="256"/>
      <c r="AE58" s="193"/>
    </row>
    <row r="59" spans="1:31" x14ac:dyDescent="0.3">
      <c r="A59" s="190" t="s">
        <v>94</v>
      </c>
      <c r="B59" s="962">
        <v>0</v>
      </c>
      <c r="C59" s="963">
        <v>0</v>
      </c>
      <c r="D59" s="959">
        <f t="shared" si="35"/>
        <v>0</v>
      </c>
      <c r="E59" s="220" t="str">
        <f t="shared" si="49"/>
        <v>-</v>
      </c>
      <c r="F59" s="256"/>
      <c r="G59" s="966">
        <v>0</v>
      </c>
      <c r="H59" s="967">
        <v>0</v>
      </c>
      <c r="I59" s="959">
        <f t="shared" si="37"/>
        <v>0</v>
      </c>
      <c r="J59" s="221" t="str">
        <f t="shared" si="50"/>
        <v>-</v>
      </c>
      <c r="K59" s="256"/>
      <c r="L59" s="962">
        <v>0</v>
      </c>
      <c r="M59" s="962">
        <v>0</v>
      </c>
      <c r="N59" s="959">
        <f t="shared" si="46"/>
        <v>0</v>
      </c>
      <c r="O59" s="222" t="str">
        <f t="shared" si="39"/>
        <v>-</v>
      </c>
      <c r="P59" s="256"/>
      <c r="Q59" s="966">
        <v>0</v>
      </c>
      <c r="R59" s="966">
        <v>0</v>
      </c>
      <c r="S59" s="959">
        <f t="shared" si="40"/>
        <v>0</v>
      </c>
      <c r="T59" s="223" t="str">
        <f t="shared" si="41"/>
        <v>-</v>
      </c>
      <c r="U59" s="256"/>
      <c r="V59" s="962">
        <f t="shared" si="42"/>
        <v>0</v>
      </c>
      <c r="W59" s="962">
        <f t="shared" si="47"/>
        <v>0</v>
      </c>
      <c r="X59" s="959">
        <f t="shared" si="43"/>
        <v>0</v>
      </c>
      <c r="Y59" s="222" t="str">
        <f t="shared" si="44"/>
        <v>-</v>
      </c>
      <c r="Z59" s="257"/>
      <c r="AA59" s="450">
        <v>0</v>
      </c>
      <c r="AB59" s="451">
        <f t="shared" si="48"/>
        <v>0</v>
      </c>
      <c r="AC59" s="222" t="str">
        <f t="shared" si="45"/>
        <v>-</v>
      </c>
      <c r="AD59" s="191"/>
      <c r="AE59" s="193"/>
    </row>
    <row r="60" spans="1:31" x14ac:dyDescent="0.3">
      <c r="A60" s="190" t="s">
        <v>95</v>
      </c>
      <c r="B60" s="962">
        <v>3.7500000000000001E-4</v>
      </c>
      <c r="C60" s="963">
        <v>0</v>
      </c>
      <c r="D60" s="959">
        <f t="shared" si="35"/>
        <v>-3.7500000000000001E-4</v>
      </c>
      <c r="E60" s="220">
        <f t="shared" si="49"/>
        <v>-1</v>
      </c>
      <c r="F60" s="191"/>
      <c r="G60" s="966">
        <v>3.7500000000000001E-4</v>
      </c>
      <c r="H60" s="967">
        <v>0</v>
      </c>
      <c r="I60" s="959">
        <f t="shared" si="37"/>
        <v>-3.7500000000000001E-4</v>
      </c>
      <c r="J60" s="221">
        <f t="shared" si="50"/>
        <v>-1</v>
      </c>
      <c r="K60" s="191"/>
      <c r="L60" s="962">
        <v>0</v>
      </c>
      <c r="M60" s="962">
        <v>5.4033E-4</v>
      </c>
      <c r="N60" s="959">
        <f t="shared" si="46"/>
        <v>5.4033E-4</v>
      </c>
      <c r="O60" s="222" t="str">
        <f t="shared" si="39"/>
        <v>-</v>
      </c>
      <c r="P60" s="191"/>
      <c r="Q60" s="966">
        <v>3.7500000000000001E-4</v>
      </c>
      <c r="R60" s="966">
        <v>6.3325000000000002E-4</v>
      </c>
      <c r="S60" s="959">
        <f t="shared" si="40"/>
        <v>2.5825000000000002E-4</v>
      </c>
      <c r="T60" s="223">
        <f t="shared" si="41"/>
        <v>0.68866666666666665</v>
      </c>
      <c r="U60" s="191"/>
      <c r="V60" s="962">
        <f t="shared" si="42"/>
        <v>1.1250000000000001E-3</v>
      </c>
      <c r="W60" s="962">
        <f t="shared" si="47"/>
        <v>1.17358E-3</v>
      </c>
      <c r="X60" s="959">
        <f t="shared" si="43"/>
        <v>4.8579999999999891E-5</v>
      </c>
      <c r="Y60" s="222">
        <f t="shared" si="44"/>
        <v>4.3182222222222122E-2</v>
      </c>
      <c r="Z60" s="188"/>
      <c r="AA60" s="450">
        <v>3500</v>
      </c>
      <c r="AB60" s="451">
        <f t="shared" si="48"/>
        <v>3499.9988264200001</v>
      </c>
      <c r="AC60" s="222">
        <f t="shared" si="45"/>
        <v>0.99999966469142865</v>
      </c>
      <c r="AD60" s="191"/>
      <c r="AE60" s="193"/>
    </row>
    <row r="61" spans="1:31" x14ac:dyDescent="0.3">
      <c r="A61" s="190" t="s">
        <v>96</v>
      </c>
      <c r="B61" s="962">
        <v>1.3749999999999999E-3</v>
      </c>
      <c r="C61" s="963">
        <v>1.4833699999999999E-3</v>
      </c>
      <c r="D61" s="959">
        <f t="shared" si="35"/>
        <v>1.0836999999999999E-4</v>
      </c>
      <c r="E61" s="220">
        <f t="shared" si="49"/>
        <v>7.8814545454545457E-2</v>
      </c>
      <c r="F61" s="191"/>
      <c r="G61" s="966">
        <v>1.3749999999999999E-3</v>
      </c>
      <c r="H61" s="967">
        <v>4.6710100000000006E-3</v>
      </c>
      <c r="I61" s="959">
        <f t="shared" si="37"/>
        <v>3.2960100000000007E-3</v>
      </c>
      <c r="J61" s="221">
        <f t="shared" si="50"/>
        <v>2.3970981818181825</v>
      </c>
      <c r="K61" s="191"/>
      <c r="L61" s="962">
        <v>0</v>
      </c>
      <c r="M61" s="962">
        <v>7.3597000000000007E-4</v>
      </c>
      <c r="N61" s="959">
        <f t="shared" si="46"/>
        <v>7.3597000000000007E-4</v>
      </c>
      <c r="O61" s="222" t="str">
        <f t="shared" si="39"/>
        <v>-</v>
      </c>
      <c r="P61" s="191"/>
      <c r="Q61" s="966">
        <v>1.3749999999999999E-3</v>
      </c>
      <c r="R61" s="966">
        <v>2.2030599999999997E-3</v>
      </c>
      <c r="S61" s="959">
        <f t="shared" si="40"/>
        <v>8.2805999999999982E-4</v>
      </c>
      <c r="T61" s="223">
        <f t="shared" si="41"/>
        <v>0.6022254545454544</v>
      </c>
      <c r="U61" s="191"/>
      <c r="V61" s="962">
        <f t="shared" si="42"/>
        <v>4.1250000000000002E-3</v>
      </c>
      <c r="W61" s="962">
        <f>SUM(C61+H61+M61+R61)</f>
        <v>9.0934099999999997E-3</v>
      </c>
      <c r="X61" s="959">
        <f t="shared" si="43"/>
        <v>4.9684099999999995E-3</v>
      </c>
      <c r="Y61" s="222">
        <f t="shared" si="44"/>
        <v>1.2044630303030301</v>
      </c>
      <c r="Z61" s="188"/>
      <c r="AA61" s="450">
        <v>10000</v>
      </c>
      <c r="AB61" s="451">
        <f>AA61-W61</f>
        <v>9999.9909065899992</v>
      </c>
      <c r="AC61" s="222">
        <f t="shared" si="45"/>
        <v>0.99999909065899995</v>
      </c>
      <c r="AD61" s="191"/>
      <c r="AE61" s="193"/>
    </row>
    <row r="62" spans="1:31" x14ac:dyDescent="0.3">
      <c r="A62" s="190" t="s">
        <v>110</v>
      </c>
      <c r="B62" s="962">
        <v>5.0000000000000001E-4</v>
      </c>
      <c r="C62" s="963">
        <v>3.3199999999999999E-4</v>
      </c>
      <c r="D62" s="959">
        <f t="shared" si="35"/>
        <v>-1.6800000000000002E-4</v>
      </c>
      <c r="E62" s="220">
        <f t="shared" si="49"/>
        <v>-0.33600000000000002</v>
      </c>
      <c r="F62" s="191"/>
      <c r="G62" s="966">
        <v>5.0000000000000001E-4</v>
      </c>
      <c r="H62" s="967">
        <v>2.2639899999999996E-3</v>
      </c>
      <c r="I62" s="959">
        <f t="shared" si="37"/>
        <v>1.7639899999999996E-3</v>
      </c>
      <c r="J62" s="221">
        <f t="shared" si="50"/>
        <v>3.527979999999999</v>
      </c>
      <c r="K62" s="191"/>
      <c r="L62" s="962">
        <v>0</v>
      </c>
      <c r="M62" s="962">
        <v>4.9799999999999996E-4</v>
      </c>
      <c r="N62" s="959">
        <f t="shared" si="46"/>
        <v>4.9799999999999996E-4</v>
      </c>
      <c r="O62" s="222" t="str">
        <f t="shared" si="39"/>
        <v>-</v>
      </c>
      <c r="P62" s="191"/>
      <c r="Q62" s="966">
        <v>5.0000000000000001E-4</v>
      </c>
      <c r="R62" s="966">
        <v>4.5403199999999996E-3</v>
      </c>
      <c r="S62" s="959">
        <f t="shared" si="40"/>
        <v>4.04032E-3</v>
      </c>
      <c r="T62" s="223">
        <f t="shared" si="41"/>
        <v>8.0806400000000007</v>
      </c>
      <c r="U62" s="191"/>
      <c r="V62" s="962">
        <f t="shared" si="42"/>
        <v>1.5E-3</v>
      </c>
      <c r="W62" s="962">
        <f>SUM(C62+H62+M62+R62)</f>
        <v>7.6343099999999992E-3</v>
      </c>
      <c r="X62" s="959">
        <f t="shared" si="43"/>
        <v>6.1343099999999987E-3</v>
      </c>
      <c r="Y62" s="222">
        <f t="shared" si="44"/>
        <v>4.0895399999999986</v>
      </c>
      <c r="Z62" s="188"/>
      <c r="AA62" s="450">
        <v>0</v>
      </c>
      <c r="AB62" s="451">
        <f t="shared" si="48"/>
        <v>-7.6343099999999992E-3</v>
      </c>
      <c r="AC62" s="222" t="str">
        <f t="shared" si="45"/>
        <v>-</v>
      </c>
      <c r="AD62" s="191"/>
      <c r="AE62" s="193"/>
    </row>
    <row r="63" spans="1:31" x14ac:dyDescent="0.3">
      <c r="A63" s="190" t="s">
        <v>124</v>
      </c>
      <c r="B63" s="962">
        <v>6.7500000000000004E-4</v>
      </c>
      <c r="C63" s="963">
        <v>0</v>
      </c>
      <c r="D63" s="959">
        <f t="shared" si="35"/>
        <v>-6.7500000000000004E-4</v>
      </c>
      <c r="E63" s="220">
        <f t="shared" si="49"/>
        <v>-1</v>
      </c>
      <c r="F63" s="191"/>
      <c r="G63" s="966">
        <v>6.7500000000000004E-4</v>
      </c>
      <c r="H63" s="967">
        <v>0</v>
      </c>
      <c r="I63" s="959">
        <f t="shared" si="37"/>
        <v>-6.7500000000000004E-4</v>
      </c>
      <c r="J63" s="221">
        <f t="shared" si="50"/>
        <v>-1</v>
      </c>
      <c r="K63" s="191"/>
      <c r="L63" s="962">
        <v>0</v>
      </c>
      <c r="M63" s="962">
        <v>0</v>
      </c>
      <c r="N63" s="959">
        <f t="shared" si="46"/>
        <v>0</v>
      </c>
      <c r="O63" s="222" t="str">
        <f t="shared" si="39"/>
        <v>-</v>
      </c>
      <c r="P63" s="191"/>
      <c r="Q63" s="966">
        <v>6.7500000000000004E-4</v>
      </c>
      <c r="R63" s="966">
        <v>0</v>
      </c>
      <c r="S63" s="959">
        <f t="shared" si="40"/>
        <v>-6.7500000000000004E-4</v>
      </c>
      <c r="T63" s="223">
        <f t="shared" si="41"/>
        <v>-1</v>
      </c>
      <c r="U63" s="191"/>
      <c r="V63" s="962">
        <f t="shared" si="42"/>
        <v>2.0249999999999999E-3</v>
      </c>
      <c r="W63" s="962">
        <f t="shared" si="47"/>
        <v>0</v>
      </c>
      <c r="X63" s="959">
        <f t="shared" si="43"/>
        <v>-2.0249999999999999E-3</v>
      </c>
      <c r="Y63" s="222">
        <f t="shared" si="44"/>
        <v>-1</v>
      </c>
      <c r="Z63" s="188"/>
      <c r="AA63" s="450">
        <v>0</v>
      </c>
      <c r="AB63" s="451">
        <f t="shared" si="48"/>
        <v>0</v>
      </c>
      <c r="AC63" s="222" t="str">
        <f t="shared" si="45"/>
        <v>-</v>
      </c>
      <c r="AD63" s="256"/>
      <c r="AE63" s="193"/>
    </row>
    <row r="64" spans="1:31" x14ac:dyDescent="0.3">
      <c r="A64" s="190" t="s">
        <v>123</v>
      </c>
      <c r="B64" s="962">
        <v>0</v>
      </c>
      <c r="C64" s="963">
        <v>0</v>
      </c>
      <c r="D64" s="959">
        <f t="shared" si="35"/>
        <v>0</v>
      </c>
      <c r="E64" s="220" t="str">
        <f t="shared" si="49"/>
        <v>-</v>
      </c>
      <c r="F64" s="256"/>
      <c r="G64" s="966">
        <v>0</v>
      </c>
      <c r="H64" s="967">
        <v>0</v>
      </c>
      <c r="I64" s="959">
        <f t="shared" si="37"/>
        <v>0</v>
      </c>
      <c r="J64" s="221" t="str">
        <f t="shared" si="50"/>
        <v>-</v>
      </c>
      <c r="K64" s="256"/>
      <c r="L64" s="962">
        <v>0</v>
      </c>
      <c r="M64" s="962">
        <v>0</v>
      </c>
      <c r="N64" s="959">
        <f t="shared" si="46"/>
        <v>0</v>
      </c>
      <c r="O64" s="222" t="str">
        <f t="shared" si="39"/>
        <v>-</v>
      </c>
      <c r="P64" s="256"/>
      <c r="Q64" s="966">
        <v>0</v>
      </c>
      <c r="R64" s="966">
        <v>0</v>
      </c>
      <c r="S64" s="959">
        <f t="shared" si="40"/>
        <v>0</v>
      </c>
      <c r="T64" s="223" t="str">
        <f t="shared" si="41"/>
        <v>-</v>
      </c>
      <c r="U64" s="256"/>
      <c r="V64" s="962">
        <f t="shared" si="42"/>
        <v>0</v>
      </c>
      <c r="W64" s="962">
        <f t="shared" si="47"/>
        <v>0</v>
      </c>
      <c r="X64" s="959">
        <f t="shared" si="43"/>
        <v>0</v>
      </c>
      <c r="Y64" s="222" t="str">
        <f t="shared" si="44"/>
        <v>-</v>
      </c>
      <c r="Z64" s="257"/>
      <c r="AA64" s="450">
        <v>0</v>
      </c>
      <c r="AB64" s="451">
        <f t="shared" si="48"/>
        <v>0</v>
      </c>
      <c r="AC64" s="222" t="str">
        <f t="shared" si="45"/>
        <v>-</v>
      </c>
      <c r="AD64" s="256"/>
      <c r="AE64" s="189"/>
    </row>
    <row r="65" spans="1:31" x14ac:dyDescent="0.3">
      <c r="A65" s="190" t="s">
        <v>122</v>
      </c>
      <c r="B65" s="962">
        <v>3.5174999999999998E-2</v>
      </c>
      <c r="C65" s="963">
        <v>0</v>
      </c>
      <c r="D65" s="959">
        <f t="shared" si="35"/>
        <v>-3.5174999999999998E-2</v>
      </c>
      <c r="E65" s="220">
        <f t="shared" si="49"/>
        <v>-1</v>
      </c>
      <c r="F65" s="256"/>
      <c r="G65" s="966">
        <v>3.5174999999999998E-2</v>
      </c>
      <c r="H65" s="967">
        <v>0</v>
      </c>
      <c r="I65" s="959">
        <f t="shared" si="37"/>
        <v>-3.5174999999999998E-2</v>
      </c>
      <c r="J65" s="221">
        <f t="shared" si="50"/>
        <v>-1</v>
      </c>
      <c r="K65" s="256"/>
      <c r="L65" s="962">
        <v>0.04</v>
      </c>
      <c r="M65" s="962">
        <v>0</v>
      </c>
      <c r="N65" s="959">
        <f t="shared" si="46"/>
        <v>-0.04</v>
      </c>
      <c r="O65" s="222">
        <f>IF(ISERROR(N65/L65),"-",N65/L65)</f>
        <v>-1</v>
      </c>
      <c r="P65" s="256"/>
      <c r="Q65" s="966">
        <v>3.5174999999999998E-2</v>
      </c>
      <c r="R65" s="966">
        <v>7.1318630000000008E-2</v>
      </c>
      <c r="S65" s="959">
        <f t="shared" si="40"/>
        <v>3.614363000000001E-2</v>
      </c>
      <c r="T65" s="223">
        <f t="shared" si="41"/>
        <v>1.0275374555792469</v>
      </c>
      <c r="U65" s="256"/>
      <c r="V65" s="962">
        <f t="shared" si="42"/>
        <v>0.14552500000000002</v>
      </c>
      <c r="W65" s="962">
        <f t="shared" si="47"/>
        <v>7.1318630000000008E-2</v>
      </c>
      <c r="X65" s="959">
        <f t="shared" si="43"/>
        <v>-7.4206370000000008E-2</v>
      </c>
      <c r="Y65" s="222">
        <f t="shared" si="44"/>
        <v>-0.50992180037794188</v>
      </c>
      <c r="Z65" s="257"/>
      <c r="AA65" s="1269">
        <v>140000</v>
      </c>
      <c r="AB65" s="963">
        <v>7.0000000000000007E-2</v>
      </c>
      <c r="AC65" s="222">
        <f t="shared" si="45"/>
        <v>5.0000000000000008E-7</v>
      </c>
      <c r="AD65" s="256"/>
      <c r="AE65" s="193"/>
    </row>
    <row r="66" spans="1:31" x14ac:dyDescent="0.3">
      <c r="A66" s="190" t="s">
        <v>114</v>
      </c>
      <c r="B66" s="962">
        <v>0</v>
      </c>
      <c r="C66" s="963">
        <v>0</v>
      </c>
      <c r="D66" s="959">
        <f t="shared" si="35"/>
        <v>0</v>
      </c>
      <c r="E66" s="220" t="str">
        <f t="shared" si="49"/>
        <v>-</v>
      </c>
      <c r="F66" s="256"/>
      <c r="G66" s="966">
        <v>0</v>
      </c>
      <c r="H66" s="967">
        <v>0</v>
      </c>
      <c r="I66" s="959">
        <f t="shared" si="37"/>
        <v>0</v>
      </c>
      <c r="J66" s="221" t="str">
        <f t="shared" si="50"/>
        <v>-</v>
      </c>
      <c r="K66" s="256"/>
      <c r="L66" s="962">
        <v>0</v>
      </c>
      <c r="M66" s="962">
        <v>0</v>
      </c>
      <c r="N66" s="959">
        <f t="shared" si="46"/>
        <v>0</v>
      </c>
      <c r="O66" s="222" t="str">
        <f t="shared" si="39"/>
        <v>-</v>
      </c>
      <c r="P66" s="256"/>
      <c r="Q66" s="966">
        <v>0</v>
      </c>
      <c r="R66" s="966">
        <v>0</v>
      </c>
      <c r="S66" s="959">
        <f t="shared" si="40"/>
        <v>0</v>
      </c>
      <c r="T66" s="223" t="str">
        <f t="shared" si="41"/>
        <v>-</v>
      </c>
      <c r="U66" s="256"/>
      <c r="V66" s="962">
        <f t="shared" si="42"/>
        <v>0</v>
      </c>
      <c r="W66" s="962">
        <f t="shared" si="47"/>
        <v>0</v>
      </c>
      <c r="X66" s="959">
        <f t="shared" si="43"/>
        <v>0</v>
      </c>
      <c r="Y66" s="222" t="str">
        <f t="shared" si="44"/>
        <v>-</v>
      </c>
      <c r="Z66" s="257"/>
      <c r="AA66" s="450">
        <v>0</v>
      </c>
      <c r="AB66" s="451">
        <f t="shared" si="48"/>
        <v>0</v>
      </c>
      <c r="AC66" s="222" t="str">
        <f t="shared" si="45"/>
        <v>-</v>
      </c>
      <c r="AD66" s="191"/>
      <c r="AE66" s="189"/>
    </row>
    <row r="67" spans="1:31" x14ac:dyDescent="0.3">
      <c r="A67" s="190" t="s">
        <v>115</v>
      </c>
      <c r="B67" s="962">
        <v>1.4250000000000001E-2</v>
      </c>
      <c r="C67" s="994">
        <v>1.310877E-2</v>
      </c>
      <c r="D67" s="959">
        <f t="shared" si="35"/>
        <v>-1.14123E-3</v>
      </c>
      <c r="E67" s="220">
        <f t="shared" si="49"/>
        <v>-8.0086315789473686E-2</v>
      </c>
      <c r="F67" s="191"/>
      <c r="G67" s="966">
        <v>1.4250000000000001E-2</v>
      </c>
      <c r="H67" s="967">
        <v>1.4387580000000001E-2</v>
      </c>
      <c r="I67" s="959">
        <f t="shared" si="37"/>
        <v>1.3757999999999999E-4</v>
      </c>
      <c r="J67" s="221">
        <f t="shared" si="50"/>
        <v>9.6547368421052628E-3</v>
      </c>
      <c r="K67" s="191"/>
      <c r="L67" s="962">
        <v>0.01</v>
      </c>
      <c r="M67" s="962">
        <v>1.4387580000000001E-2</v>
      </c>
      <c r="N67" s="959">
        <f t="shared" si="46"/>
        <v>4.3875800000000003E-3</v>
      </c>
      <c r="O67" s="222">
        <f t="shared" si="39"/>
        <v>0.43875800000000004</v>
      </c>
      <c r="P67" s="191"/>
      <c r="Q67" s="966">
        <v>1.4250000000000001E-2</v>
      </c>
      <c r="R67" s="966">
        <v>1.4387580000000001E-2</v>
      </c>
      <c r="S67" s="959">
        <f t="shared" si="40"/>
        <v>1.3757999999999999E-4</v>
      </c>
      <c r="T67" s="223">
        <f t="shared" si="41"/>
        <v>9.6547368421052628E-3</v>
      </c>
      <c r="U67" s="191"/>
      <c r="V67" s="962">
        <f t="shared" si="42"/>
        <v>5.2749999999999998E-2</v>
      </c>
      <c r="W67" s="962">
        <f t="shared" si="47"/>
        <v>5.6271509999999997E-2</v>
      </c>
      <c r="X67" s="959">
        <f t="shared" si="43"/>
        <v>3.5215099999999985E-3</v>
      </c>
      <c r="Y67" s="222">
        <f t="shared" si="44"/>
        <v>6.6758483412322253E-2</v>
      </c>
      <c r="Z67" s="188"/>
      <c r="AA67" s="1269">
        <v>57000</v>
      </c>
      <c r="AB67" s="451">
        <v>0</v>
      </c>
      <c r="AC67" s="222">
        <f t="shared" si="45"/>
        <v>0</v>
      </c>
      <c r="AD67" s="256"/>
      <c r="AE67" s="189"/>
    </row>
    <row r="68" spans="1:31" x14ac:dyDescent="0.3">
      <c r="A68" s="190" t="s">
        <v>121</v>
      </c>
      <c r="B68" s="962">
        <v>0</v>
      </c>
      <c r="C68" s="963">
        <v>0</v>
      </c>
      <c r="D68" s="959">
        <f t="shared" si="35"/>
        <v>0</v>
      </c>
      <c r="E68" s="220" t="str">
        <f t="shared" si="49"/>
        <v>-</v>
      </c>
      <c r="F68" s="256"/>
      <c r="G68" s="966">
        <v>0</v>
      </c>
      <c r="H68" s="967">
        <v>0</v>
      </c>
      <c r="I68" s="959">
        <f t="shared" si="37"/>
        <v>0</v>
      </c>
      <c r="J68" s="221" t="str">
        <f t="shared" si="50"/>
        <v>-</v>
      </c>
      <c r="K68" s="256"/>
      <c r="L68" s="962">
        <v>0</v>
      </c>
      <c r="M68" s="962">
        <v>0</v>
      </c>
      <c r="N68" s="959">
        <f t="shared" si="46"/>
        <v>0</v>
      </c>
      <c r="O68" s="222" t="str">
        <f t="shared" si="39"/>
        <v>-</v>
      </c>
      <c r="P68" s="256"/>
      <c r="Q68" s="966">
        <v>0</v>
      </c>
      <c r="R68" s="966">
        <v>0</v>
      </c>
      <c r="S68" s="959">
        <f t="shared" si="40"/>
        <v>0</v>
      </c>
      <c r="T68" s="223" t="str">
        <f t="shared" si="41"/>
        <v>-</v>
      </c>
      <c r="U68" s="256"/>
      <c r="V68" s="962">
        <f t="shared" si="42"/>
        <v>0</v>
      </c>
      <c r="W68" s="962">
        <f t="shared" si="47"/>
        <v>0</v>
      </c>
      <c r="X68" s="959">
        <f t="shared" si="43"/>
        <v>0</v>
      </c>
      <c r="Y68" s="222" t="str">
        <f t="shared" si="44"/>
        <v>-</v>
      </c>
      <c r="Z68" s="257"/>
      <c r="AA68" s="450">
        <v>0</v>
      </c>
      <c r="AB68" s="451">
        <f t="shared" si="48"/>
        <v>0</v>
      </c>
      <c r="AC68" s="222" t="str">
        <f t="shared" si="45"/>
        <v>-</v>
      </c>
      <c r="AD68" s="256"/>
      <c r="AE68" s="193"/>
    </row>
    <row r="69" spans="1:31" x14ac:dyDescent="0.3">
      <c r="A69" s="190" t="s">
        <v>97</v>
      </c>
      <c r="B69" s="962">
        <v>2.8687500000000002E-3</v>
      </c>
      <c r="C69" s="963">
        <v>3.5859799999999999E-3</v>
      </c>
      <c r="D69" s="959">
        <f t="shared" si="35"/>
        <v>7.1722999999999969E-4</v>
      </c>
      <c r="E69" s="220">
        <f t="shared" si="49"/>
        <v>0.25001481481481469</v>
      </c>
      <c r="F69" s="256"/>
      <c r="G69" s="966">
        <v>2.8687500000000002E-3</v>
      </c>
      <c r="H69" s="967">
        <v>0</v>
      </c>
      <c r="I69" s="959">
        <f t="shared" si="37"/>
        <v>-2.8687500000000002E-3</v>
      </c>
      <c r="J69" s="221">
        <f t="shared" si="50"/>
        <v>-1</v>
      </c>
      <c r="K69" s="256"/>
      <c r="L69" s="962">
        <v>0</v>
      </c>
      <c r="M69" s="962">
        <v>0</v>
      </c>
      <c r="N69" s="959">
        <f t="shared" si="46"/>
        <v>0</v>
      </c>
      <c r="O69" s="222" t="str">
        <f t="shared" si="39"/>
        <v>-</v>
      </c>
      <c r="P69" s="256"/>
      <c r="Q69" s="966">
        <v>2.8687500000000002E-3</v>
      </c>
      <c r="R69" s="966">
        <v>1.1410979999999999E-2</v>
      </c>
      <c r="S69" s="959">
        <f t="shared" si="40"/>
        <v>8.5422299999999996E-3</v>
      </c>
      <c r="T69" s="223">
        <f t="shared" si="41"/>
        <v>2.9776836601307184</v>
      </c>
      <c r="U69" s="256"/>
      <c r="V69" s="962">
        <f t="shared" si="42"/>
        <v>8.6062500000000011E-3</v>
      </c>
      <c r="W69" s="962">
        <f t="shared" si="47"/>
        <v>1.499696E-2</v>
      </c>
      <c r="X69" s="959">
        <f t="shared" si="43"/>
        <v>6.3907099999999991E-3</v>
      </c>
      <c r="Y69" s="222">
        <f t="shared" si="44"/>
        <v>0.74256615831517769</v>
      </c>
      <c r="Z69" s="257"/>
      <c r="AA69" s="1269">
        <v>15000</v>
      </c>
      <c r="AB69" s="451">
        <f t="shared" si="48"/>
        <v>14999.985003039999</v>
      </c>
      <c r="AC69" s="222">
        <f>IF(ISERROR(AB69/AA69),"-",AB69/AA69)</f>
        <v>0.99999900020266663</v>
      </c>
      <c r="AD69" s="191"/>
      <c r="AE69" s="193"/>
    </row>
    <row r="70" spans="1:31" x14ac:dyDescent="0.3">
      <c r="A70" s="190" t="s">
        <v>98</v>
      </c>
      <c r="B70" s="962">
        <v>0</v>
      </c>
      <c r="C70" s="963">
        <v>0</v>
      </c>
      <c r="D70" s="959">
        <f t="shared" si="35"/>
        <v>0</v>
      </c>
      <c r="E70" s="220" t="str">
        <f t="shared" si="49"/>
        <v>-</v>
      </c>
      <c r="F70" s="191"/>
      <c r="G70" s="966">
        <v>0</v>
      </c>
      <c r="H70" s="967">
        <v>0</v>
      </c>
      <c r="I70" s="959">
        <f t="shared" si="37"/>
        <v>0</v>
      </c>
      <c r="J70" s="221" t="str">
        <f t="shared" si="50"/>
        <v>-</v>
      </c>
      <c r="K70" s="191"/>
      <c r="L70" s="962">
        <v>0</v>
      </c>
      <c r="M70" s="962">
        <v>0</v>
      </c>
      <c r="N70" s="959">
        <f t="shared" si="46"/>
        <v>0</v>
      </c>
      <c r="O70" s="222" t="str">
        <f t="shared" si="39"/>
        <v>-</v>
      </c>
      <c r="P70" s="191"/>
      <c r="Q70" s="966">
        <v>0</v>
      </c>
      <c r="R70" s="966">
        <v>0</v>
      </c>
      <c r="S70" s="959">
        <f t="shared" si="40"/>
        <v>0</v>
      </c>
      <c r="T70" s="223" t="str">
        <f t="shared" si="41"/>
        <v>-</v>
      </c>
      <c r="U70" s="191"/>
      <c r="V70" s="962">
        <f t="shared" si="42"/>
        <v>0</v>
      </c>
      <c r="W70" s="962">
        <f>SUM(C70+H70+M70+R70)</f>
        <v>0</v>
      </c>
      <c r="X70" s="959">
        <f t="shared" si="43"/>
        <v>0</v>
      </c>
      <c r="Y70" s="222" t="str">
        <f t="shared" si="44"/>
        <v>-</v>
      </c>
      <c r="Z70" s="188"/>
      <c r="AA70" s="450">
        <v>0</v>
      </c>
      <c r="AB70" s="451">
        <f t="shared" si="48"/>
        <v>0</v>
      </c>
      <c r="AC70" s="222" t="str">
        <f t="shared" si="45"/>
        <v>-</v>
      </c>
      <c r="AD70" s="256"/>
      <c r="AE70" s="193"/>
    </row>
    <row r="71" spans="1:31" x14ac:dyDescent="0.3">
      <c r="A71" s="190" t="s">
        <v>116</v>
      </c>
      <c r="B71" s="962">
        <v>0</v>
      </c>
      <c r="C71" s="963">
        <v>0</v>
      </c>
      <c r="D71" s="959">
        <f t="shared" si="35"/>
        <v>0</v>
      </c>
      <c r="E71" s="220" t="str">
        <f t="shared" si="49"/>
        <v>-</v>
      </c>
      <c r="F71" s="256"/>
      <c r="G71" s="966">
        <v>0</v>
      </c>
      <c r="H71" s="967">
        <v>0</v>
      </c>
      <c r="I71" s="959">
        <f t="shared" si="37"/>
        <v>0</v>
      </c>
      <c r="J71" s="221" t="str">
        <f t="shared" si="50"/>
        <v>-</v>
      </c>
      <c r="K71" s="256"/>
      <c r="L71" s="962">
        <v>0</v>
      </c>
      <c r="M71" s="962">
        <v>0</v>
      </c>
      <c r="N71" s="959">
        <f t="shared" si="46"/>
        <v>0</v>
      </c>
      <c r="O71" s="222" t="str">
        <f t="shared" si="39"/>
        <v>-</v>
      </c>
      <c r="P71" s="256"/>
      <c r="Q71" s="966">
        <v>0</v>
      </c>
      <c r="R71" s="966">
        <v>0</v>
      </c>
      <c r="S71" s="959">
        <f t="shared" si="40"/>
        <v>0</v>
      </c>
      <c r="T71" s="223" t="str">
        <f t="shared" si="41"/>
        <v>-</v>
      </c>
      <c r="U71" s="256"/>
      <c r="V71" s="962">
        <f t="shared" si="42"/>
        <v>0</v>
      </c>
      <c r="W71" s="962">
        <f t="shared" si="47"/>
        <v>0</v>
      </c>
      <c r="X71" s="959">
        <f t="shared" si="43"/>
        <v>0</v>
      </c>
      <c r="Y71" s="222" t="str">
        <f t="shared" si="44"/>
        <v>-</v>
      </c>
      <c r="Z71" s="257"/>
      <c r="AA71" s="450">
        <v>0</v>
      </c>
      <c r="AB71" s="451">
        <f t="shared" si="48"/>
        <v>0</v>
      </c>
      <c r="AC71" s="222" t="str">
        <f t="shared" si="45"/>
        <v>-</v>
      </c>
      <c r="AD71" s="191"/>
      <c r="AE71" s="193"/>
    </row>
    <row r="72" spans="1:31" x14ac:dyDescent="0.3">
      <c r="A72" s="190" t="s">
        <v>99</v>
      </c>
      <c r="B72" s="962">
        <v>1.4999999999999999E-2</v>
      </c>
      <c r="C72" s="963">
        <v>0</v>
      </c>
      <c r="D72" s="959">
        <f t="shared" si="35"/>
        <v>-1.4999999999999999E-2</v>
      </c>
      <c r="E72" s="220">
        <f t="shared" si="49"/>
        <v>-1</v>
      </c>
      <c r="F72" s="191"/>
      <c r="G72" s="966">
        <v>1.4999999999999999E-2</v>
      </c>
      <c r="H72" s="967">
        <v>2.2028610000000001E-2</v>
      </c>
      <c r="I72" s="959">
        <f t="shared" si="37"/>
        <v>7.0286100000000011E-3</v>
      </c>
      <c r="J72" s="221">
        <f t="shared" si="50"/>
        <v>0.4685740000000001</v>
      </c>
      <c r="K72" s="191"/>
      <c r="L72" s="962">
        <v>0.02</v>
      </c>
      <c r="M72" s="962">
        <v>3.410092E-2</v>
      </c>
      <c r="N72" s="959">
        <f t="shared" si="46"/>
        <v>1.4100919999999999E-2</v>
      </c>
      <c r="O72" s="222">
        <f t="shared" si="39"/>
        <v>0.70504599999999995</v>
      </c>
      <c r="P72" s="191"/>
      <c r="Q72" s="966">
        <v>1.4999999999999999E-2</v>
      </c>
      <c r="R72" s="966">
        <v>1.1768790000000001E-2</v>
      </c>
      <c r="S72" s="959">
        <f t="shared" si="40"/>
        <v>-3.2312099999999983E-3</v>
      </c>
      <c r="T72" s="223">
        <f t="shared" si="41"/>
        <v>-0.21541399999999988</v>
      </c>
      <c r="U72" s="191"/>
      <c r="V72" s="962">
        <f t="shared" si="42"/>
        <v>6.5000000000000002E-2</v>
      </c>
      <c r="W72" s="962">
        <f t="shared" si="47"/>
        <v>6.7898319999999998E-2</v>
      </c>
      <c r="X72" s="959">
        <f t="shared" si="43"/>
        <v>2.8983199999999959E-3</v>
      </c>
      <c r="Y72" s="222">
        <f t="shared" si="44"/>
        <v>4.4589538461538396E-2</v>
      </c>
      <c r="Z72" s="188"/>
      <c r="AA72" s="1269">
        <v>50000</v>
      </c>
      <c r="AB72" s="963">
        <v>-0.02</v>
      </c>
      <c r="AC72" s="222">
        <f t="shared" si="45"/>
        <v>-3.9999999999999998E-7</v>
      </c>
      <c r="AD72" s="256"/>
      <c r="AE72" s="189"/>
    </row>
    <row r="73" spans="1:31" x14ac:dyDescent="0.3">
      <c r="A73" s="190" t="s">
        <v>100</v>
      </c>
      <c r="B73" s="962">
        <v>0</v>
      </c>
      <c r="C73" s="963">
        <v>0</v>
      </c>
      <c r="D73" s="959">
        <f t="shared" si="35"/>
        <v>0</v>
      </c>
      <c r="E73" s="220" t="str">
        <f t="shared" si="49"/>
        <v>-</v>
      </c>
      <c r="F73" s="256"/>
      <c r="G73" s="966">
        <v>0</v>
      </c>
      <c r="H73" s="967">
        <v>0</v>
      </c>
      <c r="I73" s="959">
        <f t="shared" si="37"/>
        <v>0</v>
      </c>
      <c r="J73" s="221" t="str">
        <f t="shared" si="50"/>
        <v>-</v>
      </c>
      <c r="K73" s="256"/>
      <c r="L73" s="962">
        <v>0</v>
      </c>
      <c r="M73" s="962">
        <v>0</v>
      </c>
      <c r="N73" s="959">
        <f t="shared" si="46"/>
        <v>0</v>
      </c>
      <c r="O73" s="222"/>
      <c r="P73" s="256"/>
      <c r="Q73" s="966">
        <v>0</v>
      </c>
      <c r="R73" s="966">
        <v>0</v>
      </c>
      <c r="S73" s="959">
        <f t="shared" si="40"/>
        <v>0</v>
      </c>
      <c r="T73" s="223"/>
      <c r="U73" s="256"/>
      <c r="V73" s="962">
        <f t="shared" si="42"/>
        <v>0</v>
      </c>
      <c r="W73" s="962">
        <f t="shared" si="47"/>
        <v>0</v>
      </c>
      <c r="X73" s="959">
        <f t="shared" si="43"/>
        <v>0</v>
      </c>
      <c r="Y73" s="222" t="str">
        <f t="shared" si="44"/>
        <v>-</v>
      </c>
      <c r="Z73" s="257"/>
      <c r="AA73" s="450">
        <v>0</v>
      </c>
      <c r="AB73" s="451">
        <f t="shared" si="48"/>
        <v>0</v>
      </c>
      <c r="AC73" s="222" t="str">
        <f t="shared" si="45"/>
        <v>-</v>
      </c>
      <c r="AD73" s="191"/>
      <c r="AE73" s="189"/>
    </row>
    <row r="74" spans="1:31" x14ac:dyDescent="0.3">
      <c r="A74" s="275" t="s">
        <v>101</v>
      </c>
      <c r="B74" s="962">
        <v>5.0000000000000001E-3</v>
      </c>
      <c r="C74" s="963">
        <v>3.19258E-3</v>
      </c>
      <c r="D74" s="959">
        <f t="shared" si="35"/>
        <v>-1.8074200000000001E-3</v>
      </c>
      <c r="E74" s="220">
        <f t="shared" si="49"/>
        <v>-0.36148400000000003</v>
      </c>
      <c r="F74" s="191"/>
      <c r="G74" s="966">
        <v>5.0000000000000001E-3</v>
      </c>
      <c r="H74" s="967">
        <v>3.9415700000000001E-3</v>
      </c>
      <c r="I74" s="959">
        <f t="shared" si="37"/>
        <v>-1.05843E-3</v>
      </c>
      <c r="J74" s="221">
        <f t="shared" si="50"/>
        <v>-0.21168599999999999</v>
      </c>
      <c r="K74" s="191"/>
      <c r="L74" s="962">
        <v>0.01</v>
      </c>
      <c r="M74" s="962">
        <v>3.29146E-3</v>
      </c>
      <c r="N74" s="959">
        <f t="shared" si="46"/>
        <v>-6.7085400000000007E-3</v>
      </c>
      <c r="O74" s="222">
        <f>IF(ISERROR(N74/L74),"-",N74/L74)</f>
        <v>-0.67085400000000006</v>
      </c>
      <c r="P74" s="191"/>
      <c r="Q74" s="966">
        <v>5.0000000000000001E-3</v>
      </c>
      <c r="R74" s="966">
        <v>4.0546100000000002E-3</v>
      </c>
      <c r="S74" s="959">
        <f t="shared" si="40"/>
        <v>-9.4538999999999995E-4</v>
      </c>
      <c r="T74" s="223">
        <f>IF(ISERROR(S74/Q74),"-",S74/Q74)</f>
        <v>-0.189078</v>
      </c>
      <c r="U74" s="191"/>
      <c r="V74" s="962">
        <f t="shared" si="42"/>
        <v>2.5000000000000001E-2</v>
      </c>
      <c r="W74" s="962">
        <f t="shared" si="47"/>
        <v>1.448022E-2</v>
      </c>
      <c r="X74" s="959">
        <f t="shared" si="43"/>
        <v>-1.0519780000000001E-2</v>
      </c>
      <c r="Y74" s="222">
        <f t="shared" si="44"/>
        <v>-0.42079120000000003</v>
      </c>
      <c r="Z74" s="188"/>
      <c r="AA74" s="1269">
        <v>20000</v>
      </c>
      <c r="AB74" s="963">
        <v>0.01</v>
      </c>
      <c r="AC74" s="222">
        <f t="shared" si="45"/>
        <v>4.9999999999999998E-7</v>
      </c>
      <c r="AD74" s="191"/>
      <c r="AE74" s="189"/>
    </row>
    <row r="75" spans="1:31" x14ac:dyDescent="0.3">
      <c r="A75" s="276" t="s">
        <v>120</v>
      </c>
      <c r="B75" s="988">
        <v>0</v>
      </c>
      <c r="C75" s="989">
        <v>0</v>
      </c>
      <c r="D75" s="959">
        <f t="shared" si="35"/>
        <v>0</v>
      </c>
      <c r="E75" s="220" t="str">
        <f t="shared" si="49"/>
        <v>-</v>
      </c>
      <c r="F75" s="191"/>
      <c r="G75" s="974">
        <v>0</v>
      </c>
      <c r="H75" s="975">
        <v>0</v>
      </c>
      <c r="I75" s="959">
        <f t="shared" si="37"/>
        <v>0</v>
      </c>
      <c r="J75" s="221" t="str">
        <f t="shared" si="50"/>
        <v>-</v>
      </c>
      <c r="K75" s="191"/>
      <c r="L75" s="962">
        <v>0</v>
      </c>
      <c r="M75" s="962">
        <v>0</v>
      </c>
      <c r="N75" s="959">
        <f t="shared" si="46"/>
        <v>0</v>
      </c>
      <c r="O75" s="222" t="str">
        <f>IF(ISERROR(N75/L75),"-",N75/L75)</f>
        <v>-</v>
      </c>
      <c r="P75" s="191"/>
      <c r="Q75" s="966"/>
      <c r="R75" s="966">
        <v>0</v>
      </c>
      <c r="S75" s="959">
        <f t="shared" si="40"/>
        <v>0</v>
      </c>
      <c r="T75" s="223" t="str">
        <f>IF(ISERROR(S75/Q75),"-",S75/Q75)</f>
        <v>-</v>
      </c>
      <c r="U75" s="191"/>
      <c r="V75" s="962">
        <f t="shared" si="42"/>
        <v>0</v>
      </c>
      <c r="W75" s="962">
        <f t="shared" si="47"/>
        <v>0</v>
      </c>
      <c r="X75" s="959">
        <f t="shared" si="43"/>
        <v>0</v>
      </c>
      <c r="Y75" s="222" t="str">
        <f t="shared" si="44"/>
        <v>-</v>
      </c>
      <c r="Z75" s="188"/>
      <c r="AA75" s="450">
        <f t="shared" ref="AA75" si="51">SUM(B75+G75+L75+Q75)</f>
        <v>0</v>
      </c>
      <c r="AB75" s="451">
        <f t="shared" si="48"/>
        <v>0</v>
      </c>
      <c r="AC75" s="222" t="str">
        <f t="shared" si="45"/>
        <v>-</v>
      </c>
      <c r="AD75" s="203"/>
      <c r="AE75" s="209"/>
    </row>
    <row r="76" spans="1:31" x14ac:dyDescent="0.3">
      <c r="A76" s="199" t="s">
        <v>102</v>
      </c>
      <c r="B76" s="970">
        <f>SUM(B43:B75)</f>
        <v>0.12016875000000002</v>
      </c>
      <c r="C76" s="971">
        <f>SUM(C43:C75)</f>
        <v>4.3727250000000002E-2</v>
      </c>
      <c r="D76" s="971">
        <f>SUM(D43:D75)</f>
        <v>-7.6441499999999996E-2</v>
      </c>
      <c r="E76" s="237">
        <f t="shared" si="49"/>
        <v>-0.63611795911998736</v>
      </c>
      <c r="F76" s="203"/>
      <c r="G76" s="970">
        <f>SUM(G43:G75)</f>
        <v>0.12016875000000002</v>
      </c>
      <c r="H76" s="971">
        <f>SUM(H43:H75)</f>
        <v>6.7619420000000013E-2</v>
      </c>
      <c r="I76" s="971">
        <f>SUM(I43:I75)</f>
        <v>-5.2549330000000005E-2</v>
      </c>
      <c r="J76" s="237">
        <f t="shared" si="50"/>
        <v>-0.4372961356425859</v>
      </c>
      <c r="K76" s="203"/>
      <c r="L76" s="970">
        <f>SUM(L43:L75)</f>
        <v>0.12</v>
      </c>
      <c r="M76" s="971">
        <f>SUM(M43:M75)</f>
        <v>7.143403999999999E-2</v>
      </c>
      <c r="N76" s="971">
        <f>SUM(N43:N75)</f>
        <v>-4.8565960000000005E-2</v>
      </c>
      <c r="O76" s="237">
        <f>IF(ISERROR(N76/L76),"-",N76/L76)</f>
        <v>-0.4047163333333334</v>
      </c>
      <c r="P76" s="203"/>
      <c r="Q76" s="970">
        <f>SUM(Q43:Q75)</f>
        <v>0.12016875000000002</v>
      </c>
      <c r="R76" s="971">
        <f>SUM(R43:R75)</f>
        <v>0.21154870000000003</v>
      </c>
      <c r="S76" s="971">
        <f>SUM(S43:S75)</f>
        <v>9.1379950000000001E-2</v>
      </c>
      <c r="T76" s="237">
        <f>IF(ISERROR(S76/Q76),"-",S76/Q76)</f>
        <v>0.7604302283247516</v>
      </c>
      <c r="U76" s="203"/>
      <c r="V76" s="970">
        <f>SUM(V43:V75)</f>
        <v>0.48050625000000008</v>
      </c>
      <c r="W76" s="971">
        <f>SUM(W43:W75)</f>
        <v>0.39432941000000005</v>
      </c>
      <c r="X76" s="971">
        <f>SUM(X43:X75)</f>
        <v>-8.6176840000000046E-2</v>
      </c>
      <c r="Y76" s="237">
        <f t="shared" si="44"/>
        <v>-0.17934592942339467</v>
      </c>
      <c r="Z76" s="203"/>
      <c r="AA76" s="469">
        <f>SUM(AA43:AA75)</f>
        <v>457300</v>
      </c>
      <c r="AB76" s="470">
        <f>SUM(AB43:AB75)</f>
        <v>105299.96486766</v>
      </c>
      <c r="AC76" s="237">
        <f t="shared" si="45"/>
        <v>0.23026451971935274</v>
      </c>
      <c r="AD76" s="175"/>
      <c r="AE76" s="189"/>
    </row>
    <row r="77" spans="1:31" x14ac:dyDescent="0.3">
      <c r="A77" s="277"/>
      <c r="B77" s="981"/>
      <c r="C77" s="980"/>
      <c r="D77" s="980"/>
      <c r="E77" s="280"/>
      <c r="F77" s="175"/>
      <c r="G77" s="978"/>
      <c r="H77" s="979"/>
      <c r="I77" s="979"/>
      <c r="J77" s="283"/>
      <c r="K77" s="175"/>
      <c r="L77" s="981"/>
      <c r="M77" s="980"/>
      <c r="N77" s="980"/>
      <c r="O77" s="284"/>
      <c r="P77" s="175"/>
      <c r="Q77" s="978"/>
      <c r="R77" s="979"/>
      <c r="S77" s="979"/>
      <c r="T77" s="285"/>
      <c r="U77" s="175"/>
      <c r="V77" s="996"/>
      <c r="W77" s="997"/>
      <c r="X77" s="980"/>
      <c r="Y77" s="284"/>
      <c r="Z77" s="175"/>
      <c r="AA77" s="486"/>
      <c r="AB77" s="487"/>
      <c r="AC77" s="284"/>
      <c r="AD77" s="256"/>
      <c r="AE77" s="209"/>
    </row>
    <row r="78" spans="1:31" ht="19.5" thickBot="1" x14ac:dyDescent="0.35">
      <c r="A78" s="199" t="s">
        <v>103</v>
      </c>
      <c r="B78" s="970">
        <f>B41+B76+B77</f>
        <v>0.23869400000000002</v>
      </c>
      <c r="C78" s="971">
        <f>C41+C76+C77</f>
        <v>0.16120347000000002</v>
      </c>
      <c r="D78" s="971">
        <f>D41+D76+D77</f>
        <v>-7.7490529999999974E-2</v>
      </c>
      <c r="E78" s="237">
        <f>IF(ISERROR(D78/B78),"-",D78/B78)</f>
        <v>-0.3246438117422305</v>
      </c>
      <c r="F78" s="256"/>
      <c r="G78" s="970">
        <f>G41+G76+G77</f>
        <v>0.23869400000000002</v>
      </c>
      <c r="H78" s="971">
        <f>H41+H76+H77</f>
        <v>0.18434447000000001</v>
      </c>
      <c r="I78" s="971">
        <f>I41+I76+I77</f>
        <v>-5.434953E-2</v>
      </c>
      <c r="J78" s="237">
        <f>IF(ISERROR(I78/G78),"-",I78/G78)</f>
        <v>-0.22769541756391026</v>
      </c>
      <c r="K78" s="256"/>
      <c r="L78" s="970">
        <f>L41+L76+L77</f>
        <v>0.24</v>
      </c>
      <c r="M78" s="971">
        <f>M41+M76+M77</f>
        <v>0.19224489</v>
      </c>
      <c r="N78" s="971">
        <f>N41+N76+N77</f>
        <v>-4.7755109999999996E-2</v>
      </c>
      <c r="O78" s="237">
        <f>IF(ISERROR(N78/L78),"-",N78/L78)</f>
        <v>-0.19897962499999999</v>
      </c>
      <c r="P78" s="256"/>
      <c r="Q78" s="970">
        <f>Q41+Q76+Q77</f>
        <v>0.23869400000000002</v>
      </c>
      <c r="R78" s="971">
        <f>R41+R76+R77</f>
        <v>0.36123075000000004</v>
      </c>
      <c r="S78" s="971">
        <f>S41+S76+S77</f>
        <v>0.12253675</v>
      </c>
      <c r="T78" s="237">
        <f>IF(ISERROR(S78/Q78),"-",S78/Q78)</f>
        <v>0.51336334386285365</v>
      </c>
      <c r="U78" s="256"/>
      <c r="V78" s="970">
        <f>V41+V76+V77</f>
        <v>0.9560820000000001</v>
      </c>
      <c r="W78" s="971">
        <f>W41+W76+W77</f>
        <v>0.89902358000000016</v>
      </c>
      <c r="X78" s="971">
        <f>X41+X76+X77</f>
        <v>-5.7058419999999964E-2</v>
      </c>
      <c r="Y78" s="237">
        <f>IF(ISERROR(X78/V78),"-",X78/V78)</f>
        <v>-5.9679420802818121E-2</v>
      </c>
      <c r="Z78" s="256"/>
      <c r="AA78" s="469">
        <f>AA41+AA76+AA77</f>
        <v>913018.01544400002</v>
      </c>
      <c r="AB78" s="470">
        <f>AB41+AB76+AB77</f>
        <v>115053.00486766</v>
      </c>
      <c r="AC78" s="237">
        <f>IF(ISERROR(AB78/AA78),"-",AB78/AA78)</f>
        <v>0.12601394816038738</v>
      </c>
      <c r="AD78" s="175"/>
      <c r="AE78" s="189"/>
    </row>
    <row r="79" spans="1:31" ht="33" customHeight="1" thickBot="1" x14ac:dyDescent="0.35">
      <c r="A79" s="288" t="s">
        <v>170</v>
      </c>
      <c r="B79" s="978">
        <f>B25-B78</f>
        <v>0</v>
      </c>
      <c r="C79" s="978">
        <f>C25-C78</f>
        <v>5.8288769999999962E-2</v>
      </c>
      <c r="D79" s="978">
        <f>D25-D78</f>
        <v>5.8288769999999962E-2</v>
      </c>
      <c r="E79" s="999"/>
      <c r="F79" s="831">
        <f>F25-F78</f>
        <v>0</v>
      </c>
      <c r="G79" s="978">
        <f>G25-G78</f>
        <v>0</v>
      </c>
      <c r="H79" s="978">
        <f>H25-H78</f>
        <v>3.5147769999999967E-2</v>
      </c>
      <c r="I79" s="978">
        <f>I25-I78</f>
        <v>3.5147769999999988E-2</v>
      </c>
      <c r="J79" s="999"/>
      <c r="K79" s="831">
        <f>K25-K78</f>
        <v>0</v>
      </c>
      <c r="L79" s="978">
        <f>L25-L78</f>
        <v>0</v>
      </c>
      <c r="M79" s="978">
        <f>M25-M78</f>
        <v>2.775511E-2</v>
      </c>
      <c r="N79" s="978">
        <f>N25-N78</f>
        <v>2.7755110000000006E-2</v>
      </c>
      <c r="O79" s="831"/>
      <c r="P79" s="831">
        <f>P25-P78</f>
        <v>0</v>
      </c>
      <c r="Q79" s="978">
        <f>Q25-Q78</f>
        <v>0</v>
      </c>
      <c r="R79" s="978">
        <f>R25-R78</f>
        <v>-0.14173848000000006</v>
      </c>
      <c r="S79" s="978">
        <f>S25-S78</f>
        <v>-0.14173848</v>
      </c>
      <c r="T79" s="831"/>
      <c r="U79" s="831">
        <f>U25-U78</f>
        <v>0</v>
      </c>
      <c r="V79" s="978">
        <f>V25-V78</f>
        <v>0</v>
      </c>
      <c r="W79" s="978">
        <f>W25-W78</f>
        <v>-2.0546830000000238E-2</v>
      </c>
      <c r="X79" s="978">
        <f>X25-X78</f>
        <v>-2.0546829999999995E-2</v>
      </c>
      <c r="Y79" s="831"/>
      <c r="Z79" s="831">
        <f>Z25-Z78</f>
        <v>0</v>
      </c>
      <c r="AA79" s="488">
        <f>AA25-AA78</f>
        <v>-913017.08698200004</v>
      </c>
      <c r="AB79" s="488">
        <f>AB25-AB78</f>
        <v>-115052.95488240999</v>
      </c>
      <c r="AC79" s="831"/>
      <c r="AD79" s="175"/>
      <c r="AE79" s="189"/>
    </row>
    <row r="80" spans="1:31" ht="19.5" thickBot="1" x14ac:dyDescent="0.35">
      <c r="A80" s="291" t="s">
        <v>171</v>
      </c>
      <c r="B80" s="981"/>
      <c r="C80" s="980"/>
      <c r="D80" s="980">
        <f>C80-B80</f>
        <v>0</v>
      </c>
      <c r="E80" s="280"/>
      <c r="F80" s="175"/>
      <c r="G80" s="978"/>
      <c r="H80" s="979"/>
      <c r="I80" s="980">
        <f>H80-G80</f>
        <v>0</v>
      </c>
      <c r="J80" s="283"/>
      <c r="K80" s="175"/>
      <c r="L80" s="981"/>
      <c r="M80" s="980"/>
      <c r="N80" s="980">
        <f>M80-L80</f>
        <v>0</v>
      </c>
      <c r="O80" s="284"/>
      <c r="P80" s="175"/>
      <c r="Q80" s="978"/>
      <c r="R80" s="979"/>
      <c r="S80" s="980">
        <f>R80-Q80</f>
        <v>0</v>
      </c>
      <c r="T80" s="292"/>
      <c r="U80" s="175"/>
      <c r="V80" s="996"/>
      <c r="W80" s="997"/>
      <c r="X80" s="980"/>
      <c r="Y80" s="284"/>
      <c r="Z80" s="175"/>
      <c r="AA80" s="486"/>
      <c r="AB80" s="487"/>
      <c r="AC80" s="284"/>
      <c r="AD80" s="175"/>
      <c r="AE80" s="189"/>
    </row>
    <row r="81" spans="1:31" ht="25.5" customHeight="1" thickBot="1" x14ac:dyDescent="0.35">
      <c r="A81" s="293" t="s">
        <v>172</v>
      </c>
      <c r="B81" s="981">
        <f>B79-B80</f>
        <v>0</v>
      </c>
      <c r="C81" s="981">
        <f t="shared" ref="C81:AC81" si="52">C79-C80</f>
        <v>5.8288769999999962E-2</v>
      </c>
      <c r="D81" s="981">
        <f t="shared" si="52"/>
        <v>5.8288769999999962E-2</v>
      </c>
      <c r="E81" s="289">
        <f>E79-E80</f>
        <v>0</v>
      </c>
      <c r="F81" s="290">
        <f t="shared" si="52"/>
        <v>0</v>
      </c>
      <c r="G81" s="981">
        <f t="shared" si="52"/>
        <v>0</v>
      </c>
      <c r="H81" s="981">
        <f t="shared" si="52"/>
        <v>3.5147769999999967E-2</v>
      </c>
      <c r="I81" s="981">
        <f t="shared" si="52"/>
        <v>3.5147769999999988E-2</v>
      </c>
      <c r="J81" s="289">
        <f>J79-J80</f>
        <v>0</v>
      </c>
      <c r="K81" s="290">
        <f t="shared" si="52"/>
        <v>0</v>
      </c>
      <c r="L81" s="981">
        <f t="shared" si="52"/>
        <v>0</v>
      </c>
      <c r="M81" s="981">
        <f t="shared" si="52"/>
        <v>2.775511E-2</v>
      </c>
      <c r="N81" s="981">
        <f t="shared" si="52"/>
        <v>2.7755110000000006E-2</v>
      </c>
      <c r="O81" s="290">
        <f t="shared" si="52"/>
        <v>0</v>
      </c>
      <c r="P81" s="290">
        <f t="shared" si="52"/>
        <v>0</v>
      </c>
      <c r="Q81" s="981">
        <f t="shared" si="52"/>
        <v>0</v>
      </c>
      <c r="R81" s="981">
        <f t="shared" si="52"/>
        <v>-0.14173848000000006</v>
      </c>
      <c r="S81" s="981">
        <f t="shared" si="52"/>
        <v>-0.14173848</v>
      </c>
      <c r="T81" s="290">
        <f t="shared" si="52"/>
        <v>0</v>
      </c>
      <c r="U81" s="290">
        <f t="shared" si="52"/>
        <v>0</v>
      </c>
      <c r="V81" s="981">
        <f>V79-V80</f>
        <v>0</v>
      </c>
      <c r="W81" s="981">
        <f t="shared" si="52"/>
        <v>-2.0546830000000238E-2</v>
      </c>
      <c r="X81" s="981">
        <f t="shared" si="52"/>
        <v>-2.0546829999999995E-2</v>
      </c>
      <c r="Y81" s="290">
        <f t="shared" si="52"/>
        <v>0</v>
      </c>
      <c r="Z81" s="290">
        <f t="shared" si="52"/>
        <v>0</v>
      </c>
      <c r="AA81" s="486">
        <f>AA79-AA80</f>
        <v>-913017.08698200004</v>
      </c>
      <c r="AB81" s="486">
        <f>AB79-AB80</f>
        <v>-115052.95488240999</v>
      </c>
      <c r="AC81" s="290">
        <f t="shared" si="52"/>
        <v>0</v>
      </c>
      <c r="AD81" s="256"/>
      <c r="AE81" s="189"/>
    </row>
    <row r="82" spans="1:31" ht="29.25" customHeight="1" x14ac:dyDescent="0.3">
      <c r="A82" s="172" t="s">
        <v>104</v>
      </c>
      <c r="B82" s="962"/>
      <c r="C82" s="963"/>
      <c r="D82" s="963">
        <f>B82-C82</f>
        <v>0</v>
      </c>
      <c r="E82" s="220" t="str">
        <f>IF(ISERROR(D82/B82),"-",D82/B82)</f>
        <v>-</v>
      </c>
      <c r="F82" s="256"/>
      <c r="G82" s="966"/>
      <c r="H82" s="967"/>
      <c r="I82" s="967">
        <f>G82-H82</f>
        <v>0</v>
      </c>
      <c r="J82" s="221" t="str">
        <f>IF(ISERROR(I82/G82),"-",I82/G82)</f>
        <v>-</v>
      </c>
      <c r="K82" s="256"/>
      <c r="L82" s="962"/>
      <c r="M82" s="963"/>
      <c r="N82" s="963">
        <f>L82-M82</f>
        <v>0</v>
      </c>
      <c r="O82" s="294" t="str">
        <f>IF(ISERROR(N82/L82),"-",N82/L82)</f>
        <v>-</v>
      </c>
      <c r="P82" s="256"/>
      <c r="Q82" s="966"/>
      <c r="R82" s="967"/>
      <c r="S82" s="967">
        <f>Q82-R82</f>
        <v>0</v>
      </c>
      <c r="T82" s="295" t="str">
        <f>IF(ISERROR(S82/Q82),"-",S82/Q82)</f>
        <v>-</v>
      </c>
      <c r="U82" s="256"/>
      <c r="V82" s="962">
        <f>B82+G82+L82+Q82</f>
        <v>0</v>
      </c>
      <c r="W82" s="963">
        <f>C82+H82+M82+R82</f>
        <v>0</v>
      </c>
      <c r="X82" s="963">
        <f>V82-W82</f>
        <v>0</v>
      </c>
      <c r="Y82" s="294" t="str">
        <f>IF(ISERROR(X82/V82),"-",X82/V82)</f>
        <v>-</v>
      </c>
      <c r="Z82" s="256"/>
      <c r="AA82" s="962"/>
      <c r="AB82" s="963">
        <f>AA82-W82</f>
        <v>0</v>
      </c>
      <c r="AC82" s="294" t="str">
        <f>IF(ISERROR(AB82/AA82),"-",AB82/AA82)</f>
        <v>-</v>
      </c>
      <c r="AE82" s="189"/>
    </row>
    <row r="83" spans="1:31" ht="19.5" thickBot="1" x14ac:dyDescent="0.35">
      <c r="A83" s="296" t="s">
        <v>105</v>
      </c>
      <c r="B83" s="982">
        <f>B81-B82</f>
        <v>0</v>
      </c>
      <c r="C83" s="982">
        <f>C81-C82</f>
        <v>5.8288769999999962E-2</v>
      </c>
      <c r="D83" s="983">
        <f>C83-B83</f>
        <v>5.8288769999999962E-2</v>
      </c>
      <c r="E83" s="299" t="str">
        <f>IF(ISERROR(D83/B83),"-",D83/B83)</f>
        <v>-</v>
      </c>
      <c r="F83" s="300"/>
      <c r="G83" s="982">
        <f>G81-G82</f>
        <v>0</v>
      </c>
      <c r="H83" s="982">
        <f>H81-H82</f>
        <v>3.5147769999999967E-2</v>
      </c>
      <c r="I83" s="983">
        <f>H83-G83</f>
        <v>3.5147769999999967E-2</v>
      </c>
      <c r="J83" s="299" t="str">
        <f>IF(ISERROR(I83/G83),"-",I83/G83)</f>
        <v>-</v>
      </c>
      <c r="K83" s="300"/>
      <c r="L83" s="982">
        <f>L81-L82</f>
        <v>0</v>
      </c>
      <c r="M83" s="982">
        <f>M81-M82</f>
        <v>2.775511E-2</v>
      </c>
      <c r="N83" s="983">
        <f>M83-L83</f>
        <v>2.775511E-2</v>
      </c>
      <c r="O83" s="299" t="str">
        <f>IF(ISERROR(N83/L83),"-",N83/L83)</f>
        <v>-</v>
      </c>
      <c r="P83" s="300"/>
      <c r="Q83" s="982">
        <f>Q81-Q82</f>
        <v>0</v>
      </c>
      <c r="R83" s="982">
        <f>R81-R82</f>
        <v>-0.14173848000000006</v>
      </c>
      <c r="S83" s="983">
        <f>R83-Q83</f>
        <v>-0.14173848000000006</v>
      </c>
      <c r="T83" s="299" t="str">
        <f>IF(ISERROR(S83/Q83),"-",S83/Q83)</f>
        <v>-</v>
      </c>
      <c r="U83" s="300"/>
      <c r="V83" s="998">
        <f>V81-V82</f>
        <v>0</v>
      </c>
      <c r="W83" s="998">
        <f>W81-W82</f>
        <v>-2.0546830000000238E-2</v>
      </c>
      <c r="X83" s="983">
        <f>W83-V83</f>
        <v>-2.0546830000000238E-2</v>
      </c>
      <c r="Y83" s="303" t="str">
        <f>IF(ISERROR(X83/V83),"-",X83/V83)</f>
        <v>-</v>
      </c>
      <c r="Z83" s="300"/>
      <c r="AA83" s="492">
        <f>AA81-AA82</f>
        <v>-913017.08698200004</v>
      </c>
      <c r="AB83" s="494">
        <f>AB81-AB82</f>
        <v>-115052.95488240999</v>
      </c>
      <c r="AC83" s="303">
        <f>IF(ISERROR(AB83/AA83),"-",AB83/AA83)</f>
        <v>0.12601402155869865</v>
      </c>
    </row>
    <row r="84" spans="1:31" x14ac:dyDescent="0.3">
      <c r="E84" s="304"/>
    </row>
    <row r="85" spans="1:31" x14ac:dyDescent="0.3">
      <c r="E85" s="304"/>
    </row>
  </sheetData>
  <sheetProtection algorithmName="SHA-512" hashValue="tIJzHSkeXXJncO4igpQOjti3UqIbjpeid03SEvLp8GoK95iqyiwt8tuuInkGBPeTqkM2XjDxdDcKPDQ+6NafwA==" saltValue="rXl8SZ4Bj0EtaOmi8NRkDA==" spinCount="100000" sheet="1" objects="1" scenarios="1"/>
  <mergeCells count="21">
    <mergeCell ref="A7:H7"/>
    <mergeCell ref="A1:H1"/>
    <mergeCell ref="A3:H3"/>
    <mergeCell ref="A4:H4"/>
    <mergeCell ref="A5:H5"/>
    <mergeCell ref="A6:H6"/>
    <mergeCell ref="A2:H2"/>
    <mergeCell ref="A8:H8"/>
    <mergeCell ref="AE9:AE11"/>
    <mergeCell ref="D10:E10"/>
    <mergeCell ref="I10:J10"/>
    <mergeCell ref="N10:O10"/>
    <mergeCell ref="S10:T10"/>
    <mergeCell ref="X10:Y10"/>
    <mergeCell ref="AB10:AC10"/>
    <mergeCell ref="B9:E9"/>
    <mergeCell ref="G9:J9"/>
    <mergeCell ref="L9:O9"/>
    <mergeCell ref="Q9:T9"/>
    <mergeCell ref="V9:Y9"/>
    <mergeCell ref="AA9:AC9"/>
  </mergeCells>
  <conditionalFormatting sqref="E56">
    <cfRule type="cellIs" dxfId="3" priority="1" stopIfTrue="1" operator="equal">
      <formula>""""""</formula>
    </cfRule>
  </conditionalFormatting>
  <pageMargins left="0.7" right="0.7" top="0.75" bottom="0.75" header="0.3" footer="0.3"/>
  <pageSetup paperSize="17" scale="42" fitToHeight="0"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pageSetUpPr fitToPage="1"/>
  </sheetPr>
  <dimension ref="A1:AG83"/>
  <sheetViews>
    <sheetView view="pageBreakPreview" topLeftCell="A68" zoomScale="60" zoomScaleNormal="80" workbookViewId="0">
      <pane xSplit="1" topLeftCell="B1" activePane="topRight" state="frozen"/>
      <selection activeCell="A42" sqref="A42"/>
      <selection pane="topRight" activeCell="H17" sqref="H17"/>
    </sheetView>
  </sheetViews>
  <sheetFormatPr defaultRowHeight="18.75" x14ac:dyDescent="0.3"/>
  <cols>
    <col min="1" max="1" width="53.42578125" style="49" customWidth="1"/>
    <col min="2" max="3" width="14.140625" style="47" customWidth="1"/>
    <col min="4" max="4" width="13.140625" style="47" customWidth="1"/>
    <col min="5" max="5" width="13.5703125" style="304" customWidth="1"/>
    <col min="6" max="6" width="1" style="49" customWidth="1"/>
    <col min="7" max="7" width="14.5703125" style="47" customWidth="1"/>
    <col min="8" max="8" width="14.28515625" style="47" customWidth="1"/>
    <col min="9" max="9" width="12.140625" style="47" customWidth="1"/>
    <col min="10" max="10" width="17.42578125" style="304" customWidth="1"/>
    <col min="11" max="11" width="1.140625" style="49" customWidth="1"/>
    <col min="12" max="12" width="14" style="47" customWidth="1"/>
    <col min="13" max="13" width="14.140625" style="47" customWidth="1"/>
    <col min="14" max="14" width="12.85546875" style="47" customWidth="1"/>
    <col min="15" max="15" width="13.42578125" style="305" customWidth="1"/>
    <col min="16" max="16" width="1" style="49" customWidth="1"/>
    <col min="17" max="17" width="13.85546875" style="47" customWidth="1"/>
    <col min="18" max="18" width="13.140625" style="47" customWidth="1"/>
    <col min="19" max="19" width="12.85546875" style="47" customWidth="1"/>
    <col min="20" max="20" width="9.85546875" style="305" customWidth="1"/>
    <col min="21" max="21" width="1.28515625" style="49" customWidth="1"/>
    <col min="22" max="22" width="14.28515625" style="47" customWidth="1"/>
    <col min="23" max="23" width="14.140625" style="47" customWidth="1"/>
    <col min="24" max="24" width="13" style="47" customWidth="1"/>
    <col min="25" max="25" width="12" style="305" customWidth="1"/>
    <col min="26" max="26" width="1" style="49" customWidth="1"/>
    <col min="27" max="27" width="16.28515625" style="47" customWidth="1"/>
    <col min="28" max="28" width="13.7109375" style="47" customWidth="1"/>
    <col min="29" max="29" width="12.28515625" style="305" customWidth="1"/>
    <col min="30" max="30" width="1" style="49" customWidth="1"/>
    <col min="31" max="31" width="66.42578125" style="49" customWidth="1"/>
    <col min="32" max="16384" width="9.140625" style="49"/>
  </cols>
  <sheetData>
    <row r="1" spans="1:31" x14ac:dyDescent="0.3">
      <c r="A1" s="1431" t="s">
        <v>49</v>
      </c>
      <c r="B1" s="1432"/>
      <c r="C1" s="1432"/>
      <c r="D1" s="1432"/>
      <c r="E1" s="1432"/>
      <c r="F1" s="1432"/>
      <c r="G1" s="1432"/>
      <c r="H1" s="1432"/>
      <c r="I1" s="87"/>
      <c r="J1" s="88"/>
      <c r="K1" s="89"/>
      <c r="L1" s="90"/>
      <c r="M1" s="90"/>
      <c r="N1" s="90"/>
      <c r="O1" s="91"/>
      <c r="P1" s="120"/>
      <c r="Q1" s="87"/>
      <c r="R1" s="92"/>
      <c r="S1" s="121"/>
      <c r="T1" s="93"/>
      <c r="U1" s="120"/>
      <c r="V1" s="122"/>
      <c r="W1" s="122"/>
      <c r="X1" s="122"/>
      <c r="Y1" s="123"/>
      <c r="Z1" s="120"/>
      <c r="AA1" s="122"/>
      <c r="AB1" s="122"/>
      <c r="AC1" s="123"/>
      <c r="AD1" s="120"/>
      <c r="AE1" s="124"/>
    </row>
    <row r="2" spans="1:31" x14ac:dyDescent="0.3">
      <c r="A2" s="125"/>
      <c r="B2" s="94"/>
      <c r="C2" s="94"/>
      <c r="D2" s="94"/>
      <c r="E2" s="95"/>
      <c r="F2" s="96"/>
      <c r="G2" s="94"/>
      <c r="H2" s="94"/>
      <c r="I2" s="94"/>
      <c r="J2" s="95"/>
      <c r="K2" s="97"/>
      <c r="L2" s="46"/>
      <c r="M2" s="46"/>
      <c r="N2" s="46"/>
      <c r="O2" s="98"/>
      <c r="P2" s="97"/>
      <c r="Q2" s="94"/>
      <c r="R2" s="99"/>
      <c r="S2" s="126"/>
      <c r="T2" s="100"/>
      <c r="U2" s="97"/>
      <c r="V2" s="127"/>
      <c r="W2" s="127"/>
      <c r="X2" s="127"/>
      <c r="Y2" s="128"/>
      <c r="Z2" s="97"/>
      <c r="AA2" s="127"/>
      <c r="AB2" s="127"/>
      <c r="AC2" s="128"/>
      <c r="AD2" s="97"/>
      <c r="AE2" s="129"/>
    </row>
    <row r="3" spans="1:31" s="52" customFormat="1" x14ac:dyDescent="0.3">
      <c r="A3" s="1433" t="s">
        <v>178</v>
      </c>
      <c r="B3" s="1434"/>
      <c r="C3" s="1434"/>
      <c r="D3" s="1434"/>
      <c r="E3" s="1434"/>
      <c r="F3" s="1434"/>
      <c r="G3" s="1434"/>
      <c r="H3" s="1434"/>
      <c r="I3" s="101"/>
      <c r="J3" s="102"/>
      <c r="K3" s="103"/>
      <c r="L3" s="104"/>
      <c r="M3" s="104"/>
      <c r="N3" s="104"/>
      <c r="O3" s="105"/>
      <c r="P3" s="130"/>
      <c r="Q3" s="101"/>
      <c r="R3" s="106"/>
      <c r="S3" s="118"/>
      <c r="T3" s="107"/>
      <c r="U3" s="130"/>
      <c r="V3" s="131"/>
      <c r="W3" s="131"/>
      <c r="X3" s="131"/>
      <c r="Y3" s="132"/>
      <c r="Z3" s="130"/>
      <c r="AA3" s="131"/>
      <c r="AB3" s="131"/>
      <c r="AC3" s="132"/>
      <c r="AD3" s="130"/>
      <c r="AE3" s="133"/>
    </row>
    <row r="4" spans="1:31" x14ac:dyDescent="0.3">
      <c r="A4" s="1435" t="s">
        <v>51</v>
      </c>
      <c r="B4" s="1436"/>
      <c r="C4" s="1436"/>
      <c r="D4" s="1436"/>
      <c r="E4" s="1436"/>
      <c r="F4" s="1436"/>
      <c r="G4" s="1436"/>
      <c r="H4" s="1436"/>
      <c r="I4" s="94"/>
      <c r="J4" s="95"/>
      <c r="K4" s="108"/>
      <c r="L4" s="109"/>
      <c r="M4" s="109"/>
      <c r="N4" s="109"/>
      <c r="O4" s="110"/>
      <c r="P4" s="134"/>
      <c r="Q4" s="111"/>
      <c r="R4" s="112"/>
      <c r="S4" s="126"/>
      <c r="T4" s="113"/>
      <c r="U4" s="134"/>
      <c r="V4" s="127"/>
      <c r="W4" s="127"/>
      <c r="X4" s="127"/>
      <c r="Y4" s="128"/>
      <c r="Z4" s="134"/>
      <c r="AA4" s="127"/>
      <c r="AB4" s="127"/>
      <c r="AC4" s="128"/>
      <c r="AD4" s="134"/>
      <c r="AE4" s="129"/>
    </row>
    <row r="5" spans="1:31" x14ac:dyDescent="0.3">
      <c r="A5" s="1435" t="s">
        <v>52</v>
      </c>
      <c r="B5" s="1437"/>
      <c r="C5" s="1437"/>
      <c r="D5" s="1437"/>
      <c r="E5" s="1437"/>
      <c r="F5" s="1437"/>
      <c r="G5" s="1437"/>
      <c r="H5" s="1437"/>
      <c r="I5" s="94"/>
      <c r="J5" s="95"/>
      <c r="K5" s="108"/>
      <c r="L5" s="109"/>
      <c r="M5" s="109"/>
      <c r="N5" s="109"/>
      <c r="O5" s="110"/>
      <c r="P5" s="134"/>
      <c r="Q5" s="111"/>
      <c r="R5" s="112"/>
      <c r="S5" s="126"/>
      <c r="T5" s="113"/>
      <c r="U5" s="134"/>
      <c r="V5" s="127"/>
      <c r="W5" s="127"/>
      <c r="X5" s="127"/>
      <c r="Y5" s="128"/>
      <c r="Z5" s="134"/>
      <c r="AA5" s="127"/>
      <c r="AB5" s="127"/>
      <c r="AC5" s="128"/>
      <c r="AD5" s="134"/>
      <c r="AE5" s="129"/>
    </row>
    <row r="6" spans="1:31" s="52" customFormat="1" x14ac:dyDescent="0.3">
      <c r="A6" s="1429" t="s">
        <v>237</v>
      </c>
      <c r="B6" s="1438"/>
      <c r="C6" s="1438"/>
      <c r="D6" s="1438"/>
      <c r="E6" s="1438"/>
      <c r="F6" s="1438"/>
      <c r="G6" s="1438"/>
      <c r="H6" s="1438"/>
      <c r="I6" s="101"/>
      <c r="J6" s="102"/>
      <c r="K6" s="114"/>
      <c r="L6" s="115"/>
      <c r="M6" s="115"/>
      <c r="N6" s="115"/>
      <c r="O6" s="116"/>
      <c r="P6" s="130"/>
      <c r="Q6" s="117"/>
      <c r="R6" s="118"/>
      <c r="S6" s="118"/>
      <c r="T6" s="119"/>
      <c r="U6" s="130"/>
      <c r="V6" s="131"/>
      <c r="W6" s="131"/>
      <c r="X6" s="131"/>
      <c r="Y6" s="132"/>
      <c r="Z6" s="130"/>
      <c r="AA6" s="104"/>
      <c r="AB6" s="104"/>
      <c r="AC6" s="132"/>
      <c r="AD6" s="130"/>
      <c r="AE6" s="133"/>
    </row>
    <row r="7" spans="1:31" s="52" customFormat="1" x14ac:dyDescent="0.3">
      <c r="A7" s="1429" t="s">
        <v>2</v>
      </c>
      <c r="B7" s="1430"/>
      <c r="C7" s="1430"/>
      <c r="D7" s="1430"/>
      <c r="E7" s="1430"/>
      <c r="F7" s="1430"/>
      <c r="G7" s="1430"/>
      <c r="H7" s="1430"/>
      <c r="I7" s="101"/>
      <c r="J7" s="102"/>
      <c r="K7" s="114"/>
      <c r="L7" s="115"/>
      <c r="M7" s="115"/>
      <c r="N7" s="115"/>
      <c r="O7" s="116"/>
      <c r="P7" s="130"/>
      <c r="Q7" s="117"/>
      <c r="R7" s="118"/>
      <c r="S7" s="118"/>
      <c r="T7" s="119"/>
      <c r="U7" s="130"/>
      <c r="V7" s="131"/>
      <c r="W7" s="131"/>
      <c r="X7" s="131"/>
      <c r="Y7" s="132"/>
      <c r="Z7" s="130"/>
      <c r="AA7" s="131"/>
      <c r="AB7" s="131"/>
      <c r="AC7" s="132"/>
      <c r="AD7" s="130"/>
      <c r="AE7" s="133"/>
    </row>
    <row r="8" spans="1:31" ht="19.5" thickBot="1" x14ac:dyDescent="0.35">
      <c r="A8" s="135" t="s">
        <v>173</v>
      </c>
      <c r="B8" s="136"/>
      <c r="C8" s="127"/>
      <c r="D8" s="127"/>
      <c r="E8" s="137"/>
      <c r="F8" s="138"/>
      <c r="G8" s="127"/>
      <c r="H8" s="127"/>
      <c r="I8" s="127"/>
      <c r="J8" s="137"/>
      <c r="K8" s="138"/>
      <c r="L8" s="127"/>
      <c r="M8" s="127"/>
      <c r="N8" s="127"/>
      <c r="O8" s="128"/>
      <c r="P8" s="138"/>
      <c r="Q8" s="127"/>
      <c r="R8" s="127"/>
      <c r="S8" s="127"/>
      <c r="T8" s="128"/>
      <c r="U8" s="138"/>
      <c r="V8" s="127"/>
      <c r="W8" s="127"/>
      <c r="X8" s="127"/>
      <c r="Y8" s="128"/>
      <c r="Z8" s="138"/>
      <c r="AA8" s="127"/>
      <c r="AB8" s="127"/>
      <c r="AC8" s="128"/>
      <c r="AD8" s="138"/>
      <c r="AE8" s="139"/>
    </row>
    <row r="9" spans="1:31" x14ac:dyDescent="0.3">
      <c r="A9" s="140"/>
      <c r="B9" s="1446" t="s">
        <v>53</v>
      </c>
      <c r="C9" s="1447"/>
      <c r="D9" s="1448"/>
      <c r="E9" s="1449"/>
      <c r="F9" s="141"/>
      <c r="G9" s="1446" t="s">
        <v>54</v>
      </c>
      <c r="H9" s="1447"/>
      <c r="I9" s="1447"/>
      <c r="J9" s="1450"/>
      <c r="K9" s="141"/>
      <c r="L9" s="1451" t="s">
        <v>55</v>
      </c>
      <c r="M9" s="1452"/>
      <c r="N9" s="1452"/>
      <c r="O9" s="1453"/>
      <c r="P9" s="141"/>
      <c r="Q9" s="1454" t="s">
        <v>56</v>
      </c>
      <c r="R9" s="1448"/>
      <c r="S9" s="1448"/>
      <c r="T9" s="1449"/>
      <c r="U9" s="141"/>
      <c r="V9" s="1455" t="s">
        <v>57</v>
      </c>
      <c r="W9" s="1456"/>
      <c r="X9" s="1456"/>
      <c r="Y9" s="1457"/>
      <c r="Z9" s="141"/>
      <c r="AA9" s="1455" t="s">
        <v>196</v>
      </c>
      <c r="AB9" s="1456"/>
      <c r="AC9" s="1457"/>
      <c r="AD9" s="142"/>
      <c r="AE9" s="1439" t="s">
        <v>58</v>
      </c>
    </row>
    <row r="10" spans="1:31" ht="37.5" x14ac:dyDescent="0.3">
      <c r="A10" s="143" t="s">
        <v>59</v>
      </c>
      <c r="B10" s="144" t="s">
        <v>60</v>
      </c>
      <c r="C10" s="144" t="s">
        <v>61</v>
      </c>
      <c r="D10" s="1441" t="s">
        <v>62</v>
      </c>
      <c r="E10" s="1442"/>
      <c r="F10" s="145"/>
      <c r="G10" s="144" t="s">
        <v>60</v>
      </c>
      <c r="H10" s="144" t="s">
        <v>61</v>
      </c>
      <c r="I10" s="1443" t="s">
        <v>62</v>
      </c>
      <c r="J10" s="1444"/>
      <c r="K10" s="145"/>
      <c r="L10" s="144" t="s">
        <v>60</v>
      </c>
      <c r="M10" s="144" t="s">
        <v>61</v>
      </c>
      <c r="N10" s="1443" t="s">
        <v>62</v>
      </c>
      <c r="O10" s="1444"/>
      <c r="P10" s="145"/>
      <c r="Q10" s="146" t="s">
        <v>60</v>
      </c>
      <c r="R10" s="147" t="s">
        <v>61</v>
      </c>
      <c r="S10" s="1445" t="s">
        <v>62</v>
      </c>
      <c r="T10" s="1442"/>
      <c r="U10" s="145"/>
      <c r="V10" s="146" t="s">
        <v>60</v>
      </c>
      <c r="W10" s="147" t="s">
        <v>61</v>
      </c>
      <c r="X10" s="1445" t="s">
        <v>62</v>
      </c>
      <c r="Y10" s="1442"/>
      <c r="Z10" s="145"/>
      <c r="AA10" s="148" t="s">
        <v>63</v>
      </c>
      <c r="AB10" s="1445" t="s">
        <v>64</v>
      </c>
      <c r="AC10" s="1442"/>
      <c r="AD10" s="149"/>
      <c r="AE10" s="1440"/>
    </row>
    <row r="11" spans="1:31" x14ac:dyDescent="0.3">
      <c r="A11" s="150"/>
      <c r="B11" s="151" t="s">
        <v>107</v>
      </c>
      <c r="C11" s="151" t="s">
        <v>107</v>
      </c>
      <c r="D11" s="152" t="s">
        <v>107</v>
      </c>
      <c r="E11" s="153" t="s">
        <v>65</v>
      </c>
      <c r="F11" s="154"/>
      <c r="G11" s="151" t="s">
        <v>107</v>
      </c>
      <c r="H11" s="151" t="s">
        <v>107</v>
      </c>
      <c r="I11" s="155" t="s">
        <v>107</v>
      </c>
      <c r="J11" s="156" t="s">
        <v>65</v>
      </c>
      <c r="K11" s="154"/>
      <c r="L11" s="151" t="s">
        <v>107</v>
      </c>
      <c r="M11" s="151" t="s">
        <v>107</v>
      </c>
      <c r="N11" s="155" t="s">
        <v>107</v>
      </c>
      <c r="O11" s="157" t="s">
        <v>65</v>
      </c>
      <c r="P11" s="154"/>
      <c r="Q11" s="158" t="s">
        <v>107</v>
      </c>
      <c r="R11" s="159" t="s">
        <v>107</v>
      </c>
      <c r="S11" s="160" t="s">
        <v>107</v>
      </c>
      <c r="T11" s="161" t="s">
        <v>65</v>
      </c>
      <c r="U11" s="154"/>
      <c r="V11" s="158" t="s">
        <v>107</v>
      </c>
      <c r="W11" s="159" t="s">
        <v>107</v>
      </c>
      <c r="X11" s="160" t="s">
        <v>107</v>
      </c>
      <c r="Y11" s="161" t="s">
        <v>65</v>
      </c>
      <c r="Z11" s="154"/>
      <c r="AA11" s="158" t="s">
        <v>107</v>
      </c>
      <c r="AB11" s="160" t="s">
        <v>107</v>
      </c>
      <c r="AC11" s="161" t="s">
        <v>65</v>
      </c>
      <c r="AD11" s="162"/>
      <c r="AE11" s="1440"/>
    </row>
    <row r="12" spans="1:31" x14ac:dyDescent="0.3">
      <c r="A12" s="163"/>
      <c r="B12" s="164"/>
      <c r="C12" s="164"/>
      <c r="D12" s="165"/>
      <c r="E12" s="166"/>
      <c r="F12" s="167"/>
      <c r="G12" s="164"/>
      <c r="H12" s="164"/>
      <c r="I12" s="165"/>
      <c r="J12" s="166"/>
      <c r="K12" s="167"/>
      <c r="L12" s="164"/>
      <c r="M12" s="164"/>
      <c r="N12" s="165"/>
      <c r="O12" s="168"/>
      <c r="P12" s="167"/>
      <c r="Q12" s="165"/>
      <c r="R12" s="165"/>
      <c r="S12" s="165"/>
      <c r="T12" s="168"/>
      <c r="U12" s="169"/>
      <c r="V12" s="170"/>
      <c r="W12" s="165"/>
      <c r="X12" s="165"/>
      <c r="Y12" s="168"/>
      <c r="Z12" s="167"/>
      <c r="AA12" s="165"/>
      <c r="AB12" s="165"/>
      <c r="AC12" s="168"/>
      <c r="AD12" s="167"/>
      <c r="AE12" s="171"/>
    </row>
    <row r="13" spans="1:31" x14ac:dyDescent="0.3">
      <c r="A13" s="172" t="s">
        <v>66</v>
      </c>
      <c r="B13" s="173"/>
      <c r="C13" s="173"/>
      <c r="D13" s="173"/>
      <c r="E13" s="174"/>
      <c r="F13" s="175"/>
      <c r="G13" s="173"/>
      <c r="H13" s="173"/>
      <c r="I13" s="173"/>
      <c r="J13" s="174"/>
      <c r="K13" s="175"/>
      <c r="L13" s="173"/>
      <c r="M13" s="173"/>
      <c r="N13" s="173"/>
      <c r="O13" s="176"/>
      <c r="P13" s="175"/>
      <c r="Q13" s="173"/>
      <c r="R13" s="173"/>
      <c r="S13" s="173"/>
      <c r="T13" s="176"/>
      <c r="U13" s="177"/>
      <c r="V13" s="178"/>
      <c r="W13" s="173"/>
      <c r="X13" s="173"/>
      <c r="Y13" s="176"/>
      <c r="Z13" s="179"/>
      <c r="AA13" s="173"/>
      <c r="AB13" s="173"/>
      <c r="AC13" s="176"/>
      <c r="AD13" s="175"/>
      <c r="AE13" s="180"/>
    </row>
    <row r="14" spans="1:31" x14ac:dyDescent="0.3">
      <c r="A14" s="181" t="s">
        <v>132</v>
      </c>
      <c r="B14" s="182">
        <f>'ADB Inc. Statement'!B14+'ANT Inc Statement'!B14+'ACC Inc Statement'!B14+'PUC Inc. Statement'!B14+'AASPA Inc. Statement'!B14+'AFSC Inc. Statement'!B14+'PSPF Inc. Statement'!B14+'ATB Inc. Statement'!B14+'ASSB Inc. Statement'!B14+'HAA Inc. Statement'!B14+'WCA Inc. Statement'!B14</f>
        <v>7914666.3900000006</v>
      </c>
      <c r="C14" s="182">
        <f>'ADB Inc. Statement'!C14+'ANT Inc Statement'!C14+'ACC Inc Statement'!C14+'PUC Inc. Statement'!C14+'AASPA Inc. Statement'!C14+'AFSC Inc. Statement'!C14+'PSPF Inc. Statement'!C14+'ATB Inc. Statement'!C14+'ASSB Inc. Statement'!C14+'HAA Inc. Statement'!C14+'WCA Inc. Statement'!C14</f>
        <v>9852225.1600000001</v>
      </c>
      <c r="D14" s="182">
        <f>C14-B14</f>
        <v>1937558.7699999996</v>
      </c>
      <c r="E14" s="183">
        <f t="shared" ref="E14:E25" si="0">IF(ISERROR(D14/B14),"-",D14/B14)</f>
        <v>0.24480611999617072</v>
      </c>
      <c r="F14" s="184"/>
      <c r="G14" s="182">
        <f>'ADB Inc. Statement'!G14+'ANT Inc Statement'!G14+'ACC Inc Statement'!G14+'PUC Inc. Statement'!G15+'AASPA Inc. Statement'!G14+'AFSC Inc. Statement'!G14+'PSPF Inc. Statement'!G14+'ATB Inc. Statement'!G14+'ASSB Inc. Statement'!G14+'HAA Inc. Statement'!G14+'WCA Inc. Statement'!G14</f>
        <v>8434021.8000000007</v>
      </c>
      <c r="H14" s="182">
        <f>'ADB Inc. Statement'!H14+'ANT Inc Statement'!H14+'ACC Inc Statement'!H14+'PUC Inc. Statement'!H15+'AASPA Inc. Statement'!H14+'AFSC Inc. Statement'!H14+'PSPF Inc. Statement'!H14+'ATB Inc. Statement'!H14+'ASSB Inc. Statement'!H14+'HAA Inc. Statement'!H14+'WCA Inc. Statement'!H14</f>
        <v>8692483.629999999</v>
      </c>
      <c r="I14" s="182">
        <f>H14-G14</f>
        <v>258461.82999999821</v>
      </c>
      <c r="J14" s="183">
        <f t="shared" ref="J14:J25" si="1">IF(ISERROR(I14/G14),"-",I14/G14)</f>
        <v>3.0645146067798661E-2</v>
      </c>
      <c r="K14" s="184"/>
      <c r="L14" s="182">
        <f>'ADB Inc. Statement'!L14+'ANT Inc Statement'!L14+'ACC Inc Statement'!L14+'PUC Inc. Statement'!L15+'AASPA Inc. Statement'!L14+'AFSC Inc. Statement'!L14+'PSPF Inc. Statement'!L14+'ATB Inc. Statement'!L14+'ASSB Inc. Statement'!L14+'HAA Inc. Statement'!L14+'WCA Inc. Statement'!L14</f>
        <v>8061328.79</v>
      </c>
      <c r="M14" s="182">
        <f>'ADB Inc. Statement'!M14+'ANT Inc Statement'!M14+'ACC Inc Statement'!M14+'PUC Inc. Statement'!M15+'AASPA Inc. Statement'!M14+'AFSC Inc. Statement'!M14+'PSPF Inc. Statement'!M14+'ATB Inc. Statement'!M14+'ASSB Inc. Statement'!M14+'HAA Inc. Statement'!M14+'WCA Inc. Statement'!M14</f>
        <v>8084227.3200000003</v>
      </c>
      <c r="N14" s="182">
        <f>M14-L14</f>
        <v>22898.530000000261</v>
      </c>
      <c r="O14" s="185">
        <f t="shared" ref="O14:O25" si="2">IF(ISERROR(N14/L14),"-",N14/L14)</f>
        <v>2.840540386890765E-3</v>
      </c>
      <c r="P14" s="184"/>
      <c r="Q14" s="182">
        <f>'ADB Inc. Statement'!Q14+'ANT Inc Statement'!Q14+'ACC Inc Statement'!Q14+'PUC Inc. Statement'!Q15+'AASPA Inc. Statement'!Q14+'AFSC Inc. Statement'!Q14+'PSPF Inc. Statement'!Q14+'ATB Inc. Statement'!Q14+'ASSB Inc. Statement'!Q14+'HAA Inc. Statement'!Q14+'WCA Inc. Statement'!Q14</f>
        <v>7996854.75</v>
      </c>
      <c r="R14" s="182">
        <f>'ADB Inc. Statement'!R14+'ANT Inc Statement'!R14+'ACC Inc Statement'!R14+'PUC Inc. Statement'!R15+'AASPA Inc. Statement'!R14+'AFSC Inc. Statement'!R14+'PSPF Inc. Statement'!R14+'ATB Inc. Statement'!R14+'ASSB Inc. Statement'!R14+'HAA Inc. Statement'!R14+'WCA Inc. Statement'!R14</f>
        <v>8764632.6500000004</v>
      </c>
      <c r="S14" s="182">
        <f>R14-Q14</f>
        <v>767777.90000000037</v>
      </c>
      <c r="T14" s="185">
        <f t="shared" ref="T14:T29" si="3">IF(ISERROR(S14/Q14),"-",S14/Q14)</f>
        <v>9.6009984425439315E-2</v>
      </c>
      <c r="U14" s="186"/>
      <c r="V14" s="187">
        <f>B14+G14+L14+Q14</f>
        <v>32406871.73</v>
      </c>
      <c r="W14" s="182">
        <f>C14+H14+M14+R14</f>
        <v>35393568.759999998</v>
      </c>
      <c r="X14" s="182">
        <f>W14-V14</f>
        <v>2986697.0299999975</v>
      </c>
      <c r="Y14" s="185">
        <f t="shared" ref="Y14:Y25" si="4">IF(ISERROR(X14/V14),"-",X14/V14)</f>
        <v>9.2162460322732218E-2</v>
      </c>
      <c r="Z14" s="188"/>
      <c r="AA14" s="182">
        <f>'ADB Inc. Statement'!AA14+'ANT Inc Statement'!AA14+'ACC Inc Statement'!AA14+'PUC Inc. Statement'!AA14+'AASPA Inc. Statement'!AA14+'AFSC Inc. Statement'!AA14+'PSPF Inc. Statement'!AA14+'ATB Inc. Statement'!AA14+'ASSB Inc. Statement'!AA14+'HAA Inc. Statement'!AA14+'WCA Inc. Statement'!AA14</f>
        <v>33670522.70279</v>
      </c>
      <c r="AB14" s="182">
        <f>AA14-W14</f>
        <v>-1723046.0572099984</v>
      </c>
      <c r="AC14" s="185">
        <f>IF(ISERROR(AB14/AA14),"-",AB14/AA14)</f>
        <v>-5.1173724637996895E-2</v>
      </c>
      <c r="AD14" s="184"/>
      <c r="AE14" s="189"/>
    </row>
    <row r="15" spans="1:31" x14ac:dyDescent="0.3">
      <c r="A15" s="190" t="s">
        <v>111</v>
      </c>
      <c r="B15" s="182">
        <f>'ADB Inc. Statement'!B15+'ANT Inc Statement'!B15+'ACC Inc Statement'!B15+'PUC Inc. Statement'!B15+'AASPA Inc. Statement'!B15+'AFSC Inc. Statement'!B15+'PSPF Inc. Statement'!B15+'ATB Inc. Statement'!B15+'ASSB Inc. Statement'!B15+'HAA Inc. Statement'!B15+'WCA Inc. Statement'!B15</f>
        <v>4207934.2300000004</v>
      </c>
      <c r="C15" s="182">
        <f>'ADB Inc. Statement'!C15+'ANT Inc Statement'!C15+'ACC Inc Statement'!C15+'PUC Inc. Statement'!C15+'AASPA Inc. Statement'!C15+'AFSC Inc. Statement'!C15+'PSPF Inc. Statement'!C15+'ATB Inc. Statement'!C15+'ASSB Inc. Statement'!C15+'HAA Inc. Statement'!C15+'WCA Inc. Statement'!C15</f>
        <v>4227367.2906339997</v>
      </c>
      <c r="D15" s="182">
        <f t="shared" ref="D15:D24" si="5">C15-B15</f>
        <v>19433.060633999296</v>
      </c>
      <c r="E15" s="183">
        <f t="shared" si="0"/>
        <v>4.618194955485151E-3</v>
      </c>
      <c r="F15" s="184"/>
      <c r="G15" s="182">
        <f>'ADB Inc. Statement'!G15+'ANT Inc Statement'!G15+'ACC Inc Statement'!G15+'PUC Inc. Statement'!G16+'AASPA Inc. Statement'!G15+'AFSC Inc. Statement'!G15+'PSPF Inc. Statement'!G15+'ATB Inc. Statement'!G15+'ASSB Inc. Statement'!G15+'HAA Inc. Statement'!G15+'WCA Inc. Statement'!G15</f>
        <v>2104231.8256000001</v>
      </c>
      <c r="H15" s="182">
        <f>'ADB Inc. Statement'!H15+'ANT Inc Statement'!H15+'ACC Inc Statement'!H15+'PUC Inc. Statement'!H16+'AASPA Inc. Statement'!H15+'AFSC Inc. Statement'!H15+'PSPF Inc. Statement'!H15+'ATB Inc. Statement'!H15+'ASSB Inc. Statement'!H15+'HAA Inc. Statement'!H15+'WCA Inc. Statement'!H15</f>
        <v>2023459.1728419999</v>
      </c>
      <c r="I15" s="182">
        <f>H15-G15</f>
        <v>-80772.652758000186</v>
      </c>
      <c r="J15" s="183">
        <f t="shared" si="1"/>
        <v>-3.8385814611927895E-2</v>
      </c>
      <c r="K15" s="184"/>
      <c r="L15" s="182">
        <f>'ADB Inc. Statement'!L15+'ANT Inc Statement'!L15+'ACC Inc Statement'!L15+'PUC Inc. Statement'!L16+'AASPA Inc. Statement'!L15+'AFSC Inc. Statement'!L15+'PSPF Inc. Statement'!L15+'ATB Inc. Statement'!L15+'ASSB Inc. Statement'!L15+'HAA Inc. Statement'!L15+'WCA Inc. Statement'!L15</f>
        <v>2086016.9878</v>
      </c>
      <c r="M15" s="182">
        <f>'ADB Inc. Statement'!M15+'ANT Inc Statement'!M15+'ACC Inc Statement'!M15+'PUC Inc. Statement'!M16+'AASPA Inc. Statement'!M15+'AFSC Inc. Statement'!M15+'PSPF Inc. Statement'!M15+'ATB Inc. Statement'!M15+'ASSB Inc. Statement'!M15+'HAA Inc. Statement'!M15+'WCA Inc. Statement'!M15</f>
        <v>1481398.5878000001</v>
      </c>
      <c r="N15" s="182">
        <f t="shared" ref="N15:N24" si="6">M15-L15</f>
        <v>-604618.39999999991</v>
      </c>
      <c r="O15" s="185">
        <f t="shared" si="2"/>
        <v>-0.28984346893438079</v>
      </c>
      <c r="P15" s="184"/>
      <c r="Q15" s="182">
        <f>'ADB Inc. Statement'!Q15+'ANT Inc Statement'!Q15+'ACC Inc Statement'!Q15+'PUC Inc. Statement'!Q16+'AASPA Inc. Statement'!Q15+'AFSC Inc. Statement'!Q15+'PSPF Inc. Statement'!Q15+'ATB Inc. Statement'!Q15+'ASSB Inc. Statement'!Q15+'HAA Inc. Statement'!Q15+'WCA Inc. Statement'!Q15</f>
        <v>2367139.6</v>
      </c>
      <c r="R15" s="182">
        <f>'ADB Inc. Statement'!R15+'ANT Inc Statement'!R15+'ACC Inc Statement'!R15+'PUC Inc. Statement'!R16+'AASPA Inc. Statement'!R15+'AFSC Inc. Statement'!R15+'PSPF Inc. Statement'!R15+'ATB Inc. Statement'!R15+'ASSB Inc. Statement'!R15+'HAA Inc. Statement'!R15+'WCA Inc. Statement'!R15</f>
        <v>2251199.1389779998</v>
      </c>
      <c r="S15" s="182">
        <f t="shared" ref="S15:S24" si="7">R15-Q15</f>
        <v>-115940.46102200029</v>
      </c>
      <c r="T15" s="185">
        <f t="shared" si="3"/>
        <v>-4.8979139642630412E-2</v>
      </c>
      <c r="U15" s="186"/>
      <c r="V15" s="187">
        <f t="shared" ref="V15:V24" si="8">B15+G15+L15+Q15</f>
        <v>10765322.6434</v>
      </c>
      <c r="W15" s="182">
        <f t="shared" ref="W15:W24" si="9">C15+H15+M15+R15</f>
        <v>9983424.1902539991</v>
      </c>
      <c r="X15" s="182">
        <f t="shared" ref="X15:X24" si="10">W15-V15</f>
        <v>-781898.45314600132</v>
      </c>
      <c r="Y15" s="185">
        <f t="shared" si="4"/>
        <v>-7.2631214042188252E-2</v>
      </c>
      <c r="Z15" s="188"/>
      <c r="AA15" s="182">
        <f>'ADB Inc. Statement'!AA15+'ANT Inc Statement'!AA15+'ACC Inc Statement'!AA15+'PUC Inc. Statement'!AA15+'AASPA Inc. Statement'!AA15+'AFSC Inc. Statement'!AA15+'PSPF Inc. Statement'!AA15+'ATB Inc. Statement'!AA15+'ASSB Inc. Statement'!AA15+'HAA Inc. Statement'!AA15+'WCA Inc. Statement'!AA15</f>
        <v>10757385.58948</v>
      </c>
      <c r="AB15" s="182">
        <f t="shared" ref="AB15:AB24" si="11">AA15-W15</f>
        <v>773961.39922600053</v>
      </c>
      <c r="AC15" s="185">
        <f t="shared" ref="AC15:AC24" si="12">IF(ISERROR(AB15/AA15),"-",AB15/AA15)</f>
        <v>7.1946979383437068E-2</v>
      </c>
      <c r="AD15" s="184"/>
      <c r="AE15" s="189"/>
    </row>
    <row r="16" spans="1:31" x14ac:dyDescent="0.3">
      <c r="A16" s="190" t="s">
        <v>69</v>
      </c>
      <c r="B16" s="182">
        <f>'ADB Inc. Statement'!B16+'ANT Inc Statement'!B16+'ACC Inc Statement'!B16+'PUC Inc. Statement'!B16+'AASPA Inc. Statement'!B16+'AFSC Inc. Statement'!B16+'PSPF Inc. Statement'!B16+'ATB Inc. Statement'!B16+'ASSB Inc. Statement'!B16+'HAA Inc. Statement'!B16+'WCA Inc. Statement'!B16</f>
        <v>4926444.7387211751</v>
      </c>
      <c r="C16" s="182">
        <f>'ADB Inc. Statement'!C16+'ANT Inc Statement'!C16+'ACC Inc Statement'!C16+'PUC Inc. Statement'!C16+'AASPA Inc. Statement'!C16+'AFSC Inc. Statement'!C16+'PSPF Inc. Statement'!C16+'ATB Inc. Statement'!C16+'ASSB Inc. Statement'!C16+'HAA Inc. Statement'!C16+'WCA Inc. Statement'!C16</f>
        <v>5356462.1900000004</v>
      </c>
      <c r="D16" s="182">
        <f t="shared" si="5"/>
        <v>430017.45127882529</v>
      </c>
      <c r="E16" s="183">
        <f t="shared" si="0"/>
        <v>8.728758244235392E-2</v>
      </c>
      <c r="F16" s="191"/>
      <c r="G16" s="182">
        <f>'ADB Inc. Statement'!G16+'ANT Inc Statement'!G16+'ACC Inc Statement'!G16+'PUC Inc. Statement'!G17+'AASPA Inc. Statement'!G16+'AFSC Inc. Statement'!G16+'PSPF Inc. Statement'!G16+'ATB Inc. Statement'!G16+'ASSB Inc. Statement'!G16+'HAA Inc. Statement'!G16+'WCA Inc. Statement'!G16</f>
        <v>4932398.0264411755</v>
      </c>
      <c r="H16" s="182">
        <f>'ADB Inc. Statement'!H16+'ANT Inc Statement'!H16+'ACC Inc Statement'!H16+'PUC Inc. Statement'!H17+'AASPA Inc. Statement'!H16+'AFSC Inc. Statement'!H16+'PSPF Inc. Statement'!H16+'ATB Inc. Statement'!H16+'ASSB Inc. Statement'!H16+'HAA Inc. Statement'!H16+'WCA Inc. Statement'!H16</f>
        <v>6642126.2793780006</v>
      </c>
      <c r="I16" s="182">
        <f t="shared" ref="I16:I24" si="13">H16-G16</f>
        <v>1709728.2529368252</v>
      </c>
      <c r="J16" s="183">
        <f t="shared" si="1"/>
        <v>0.34663225550157567</v>
      </c>
      <c r="K16" s="191"/>
      <c r="L16" s="182">
        <f>'ADB Inc. Statement'!L16+'ANT Inc Statement'!L16+'ACC Inc Statement'!L16+'PUC Inc. Statement'!L17+'AASPA Inc. Statement'!L16+'AFSC Inc. Statement'!L16+'PSPF Inc. Statement'!L16+'ATB Inc. Statement'!L16+'ASSB Inc. Statement'!L16+'HAA Inc. Statement'!L16+'WCA Inc. Statement'!L16</f>
        <v>4926444.25</v>
      </c>
      <c r="M16" s="182">
        <f>'ADB Inc. Statement'!M16+'ANT Inc Statement'!M16+'ACC Inc Statement'!M16+'PUC Inc. Statement'!M17+'AASPA Inc. Statement'!M16+'AFSC Inc. Statement'!M16+'PSPF Inc. Statement'!M16+'ATB Inc. Statement'!M16+'ASSB Inc. Statement'!M16+'HAA Inc. Statement'!M16+'WCA Inc. Statement'!M16</f>
        <v>716267.65</v>
      </c>
      <c r="N16" s="182">
        <f t="shared" si="6"/>
        <v>-4210176.5999999996</v>
      </c>
      <c r="O16" s="185">
        <f t="shared" si="2"/>
        <v>-0.85460758030500383</v>
      </c>
      <c r="P16" s="191"/>
      <c r="Q16" s="182">
        <f>'ADB Inc. Statement'!Q16+'ANT Inc Statement'!Q16+'ACC Inc Statement'!Q16+'PUC Inc. Statement'!Q17+'AASPA Inc. Statement'!Q16+'AFSC Inc. Statement'!Q16+'PSPF Inc. Statement'!Q16+'ATB Inc. Statement'!Q16+'ASSB Inc. Statement'!Q16+'HAA Inc. Statement'!Q16+'WCA Inc. Statement'!Q16</f>
        <v>4934903.4458131753</v>
      </c>
      <c r="R16" s="182">
        <f>'ADB Inc. Statement'!R16+'ANT Inc Statement'!R16+'ACC Inc Statement'!R16+'PUC Inc. Statement'!R17+'AASPA Inc. Statement'!R16+'AFSC Inc. Statement'!R16+'PSPF Inc. Statement'!R16+'ATB Inc. Statement'!R16+'ASSB Inc. Statement'!R16+'HAA Inc. Statement'!R16+'WCA Inc. Statement'!R16</f>
        <v>11088010.860269999</v>
      </c>
      <c r="S16" s="182">
        <f t="shared" si="7"/>
        <v>6153107.4144568238</v>
      </c>
      <c r="T16" s="185">
        <f t="shared" si="3"/>
        <v>1.2468546714277025</v>
      </c>
      <c r="U16" s="192"/>
      <c r="V16" s="187">
        <f>B16+G16+L16+Q16</f>
        <v>19720190.460975528</v>
      </c>
      <c r="W16" s="182">
        <f>C16+H16+M16+R16</f>
        <v>23802866.979648001</v>
      </c>
      <c r="X16" s="182">
        <f t="shared" si="10"/>
        <v>4082676.5186724737</v>
      </c>
      <c r="Y16" s="185">
        <f t="shared" si="4"/>
        <v>0.20703027826996503</v>
      </c>
      <c r="Z16" s="188"/>
      <c r="AA16" s="182">
        <f>'ADB Inc. Statement'!AA16+'ANT Inc Statement'!AA16+'ACC Inc Statement'!AA16+'PUC Inc. Statement'!AA16+'AASPA Inc. Statement'!AA16+'AFSC Inc. Statement'!AA16+'PSPF Inc. Statement'!AA16+'ATB Inc. Statement'!AA16+'ASSB Inc. Statement'!AA16+'HAA Inc. Statement'!AA16+'WCA Inc. Statement'!AA16</f>
        <v>19720990.994872</v>
      </c>
      <c r="AB16" s="182">
        <f t="shared" si="11"/>
        <v>-4081875.9847760014</v>
      </c>
      <c r="AC16" s="185">
        <f t="shared" si="12"/>
        <v>-0.20698128130768892</v>
      </c>
      <c r="AD16" s="191"/>
      <c r="AE16" s="193"/>
    </row>
    <row r="17" spans="1:33" x14ac:dyDescent="0.3">
      <c r="A17" s="190" t="s">
        <v>68</v>
      </c>
      <c r="B17" s="182">
        <f>'ADB Inc. Statement'!B17+'ANT Inc Statement'!B17+'ACC Inc Statement'!B17+'PUC Inc. Statement'!B17+'AASPA Inc. Statement'!B17+'AFSC Inc. Statement'!B17+'PSPF Inc. Statement'!B17+'ATB Inc. Statement'!B17+'ASSB Inc. Statement'!B17+'HAA Inc. Statement'!B17+'WCA Inc. Statement'!B17</f>
        <v>123059</v>
      </c>
      <c r="C17" s="182">
        <f>'ADB Inc. Statement'!C17+'ANT Inc Statement'!C17+'ACC Inc Statement'!C17+'PUC Inc. Statement'!C17+'AASPA Inc. Statement'!C17+'AFSC Inc. Statement'!C17+'PSPF Inc. Statement'!C17+'ATB Inc. Statement'!C17+'ASSB Inc. Statement'!C17+'HAA Inc. Statement'!C17+'WCA Inc. Statement'!C17</f>
        <v>177830.25</v>
      </c>
      <c r="D17" s="182">
        <f t="shared" si="5"/>
        <v>54771.25</v>
      </c>
      <c r="E17" s="183">
        <f t="shared" si="0"/>
        <v>0.44508122120283766</v>
      </c>
      <c r="F17" s="184"/>
      <c r="G17" s="182">
        <f>'ADB Inc. Statement'!G17+'ANT Inc Statement'!G17+'ACC Inc Statement'!G17+'PUC Inc. Statement'!G18+'AASPA Inc. Statement'!G17+'AFSC Inc. Statement'!G17+'PSPF Inc. Statement'!G17+'ATB Inc. Statement'!G17+'ASSB Inc. Statement'!G17+'HAA Inc. Statement'!G17+'WCA Inc. Statement'!G17</f>
        <v>109250.238694</v>
      </c>
      <c r="H17" s="182">
        <f>'ADB Inc. Statement'!H17+'ANT Inc Statement'!H17+'ACC Inc Statement'!H17+'PUC Inc. Statement'!H18+'AASPA Inc. Statement'!H17+'AFSC Inc. Statement'!H17+'PSPF Inc. Statement'!H17+'ATB Inc. Statement'!H17+'ASSB Inc. Statement'!H17+'HAA Inc. Statement'!H17+'WCA Inc. Statement'!H17</f>
        <v>134078.21949223999</v>
      </c>
      <c r="I17" s="182">
        <f t="shared" si="13"/>
        <v>24827.980798239994</v>
      </c>
      <c r="J17" s="183">
        <f t="shared" si="1"/>
        <v>0.22725790895323272</v>
      </c>
      <c r="K17" s="184"/>
      <c r="L17" s="182">
        <f>'ADB Inc. Statement'!L17+'ANT Inc Statement'!L17+'ACC Inc Statement'!L17+'PUC Inc. Statement'!L18+'AASPA Inc. Statement'!L17+'AFSC Inc. Statement'!L17+'PSPF Inc. Statement'!L17+'ATB Inc. Statement'!L17+'ASSB Inc. Statement'!L17+'HAA Inc. Statement'!L17+'WCA Inc. Statement'!L17</f>
        <v>109250.23999999999</v>
      </c>
      <c r="M17" s="182">
        <f>'ADB Inc. Statement'!M17+'ANT Inc Statement'!M17+'ACC Inc Statement'!M17+'PUC Inc. Statement'!M18+'AASPA Inc. Statement'!M17+'AFSC Inc. Statement'!M17+'PSPF Inc. Statement'!M17+'ATB Inc. Statement'!M17+'ASSB Inc. Statement'!M17+'HAA Inc. Statement'!M17+'WCA Inc. Statement'!M17</f>
        <v>142344.60999999999</v>
      </c>
      <c r="N17" s="182">
        <f t="shared" si="6"/>
        <v>33094.369999999995</v>
      </c>
      <c r="O17" s="185">
        <f t="shared" si="2"/>
        <v>0.30292262973518408</v>
      </c>
      <c r="P17" s="184"/>
      <c r="Q17" s="182">
        <f>'ADB Inc. Statement'!Q17+'ANT Inc Statement'!Q17+'ACC Inc Statement'!Q17+'PUC Inc. Statement'!Q18+'AASPA Inc. Statement'!Q17+'AFSC Inc. Statement'!Q17+'PSPF Inc. Statement'!Q17+'ATB Inc. Statement'!Q17+'ASSB Inc. Statement'!Q17+'HAA Inc. Statement'!Q17+'WCA Inc. Statement'!Q17</f>
        <v>104852.238694</v>
      </c>
      <c r="R17" s="182">
        <f>'ADB Inc. Statement'!R17+'ANT Inc Statement'!R17+'ACC Inc Statement'!R17+'PUC Inc. Statement'!R18+'AASPA Inc. Statement'!R17+'AFSC Inc. Statement'!R17+'PSPF Inc. Statement'!R17+'ATB Inc. Statement'!R17+'ASSB Inc. Statement'!R17+'HAA Inc. Statement'!R17+'WCA Inc. Statement'!R17</f>
        <v>148839.92949226999</v>
      </c>
      <c r="S17" s="182">
        <f t="shared" si="7"/>
        <v>43987.690798269992</v>
      </c>
      <c r="T17" s="185">
        <f t="shared" si="3"/>
        <v>0.41952075936731636</v>
      </c>
      <c r="U17" s="186"/>
      <c r="V17" s="187">
        <f t="shared" si="8"/>
        <v>446411.71738799999</v>
      </c>
      <c r="W17" s="182">
        <f t="shared" si="9"/>
        <v>603093.00898450997</v>
      </c>
      <c r="X17" s="182">
        <f t="shared" si="10"/>
        <v>156681.29159650998</v>
      </c>
      <c r="Y17" s="185">
        <f t="shared" si="4"/>
        <v>0.35097934371720357</v>
      </c>
      <c r="Z17" s="188"/>
      <c r="AA17" s="182">
        <f>'ADB Inc. Statement'!AA17+'ANT Inc Statement'!AA17+'ACC Inc Statement'!AA17+'PUC Inc. Statement'!AA17+'AASPA Inc. Statement'!AA17+'AFSC Inc. Statement'!AA17+'PSPF Inc. Statement'!AA17+'ATB Inc. Statement'!AA17+'ASSB Inc. Statement'!AA17+'HAA Inc. Statement'!AA17+'WCA Inc. Statement'!AA17</f>
        <v>458420</v>
      </c>
      <c r="AB17" s="182">
        <f t="shared" si="11"/>
        <v>-144673.00898450997</v>
      </c>
      <c r="AC17" s="185">
        <f t="shared" si="12"/>
        <v>-0.31559052612126426</v>
      </c>
      <c r="AD17" s="184"/>
      <c r="AE17" s="189"/>
    </row>
    <row r="18" spans="1:33" x14ac:dyDescent="0.3">
      <c r="A18" s="190" t="s">
        <v>71</v>
      </c>
      <c r="B18" s="182">
        <f>'ADB Inc. Statement'!B18+'ANT Inc Statement'!B18+'ACC Inc Statement'!B18+'PUC Inc. Statement'!B18+'AASPA Inc. Statement'!B18+'AFSC Inc. Statement'!B18+'PSPF Inc. Statement'!B18+'ATB Inc. Statement'!B18+'ASSB Inc. Statement'!B18+'HAA Inc. Statement'!B18+'WCA Inc. Statement'!B18</f>
        <v>521401.238694</v>
      </c>
      <c r="C18" s="182">
        <f>'ADB Inc. Statement'!C18+'ANT Inc Statement'!C18+'ACC Inc Statement'!C18+'PUC Inc. Statement'!C18+'AASPA Inc. Statement'!C18+'AFSC Inc. Statement'!C18+'PSPF Inc. Statement'!C18+'ATB Inc. Statement'!C18+'ASSB Inc. Statement'!C18+'HAA Inc. Statement'!C18+'WCA Inc. Statement'!C18</f>
        <v>529579.92949224007</v>
      </c>
      <c r="D18" s="182">
        <f t="shared" si="5"/>
        <v>8178.6907982400735</v>
      </c>
      <c r="E18" s="183">
        <f t="shared" si="0"/>
        <v>1.5685982677613054E-2</v>
      </c>
      <c r="F18" s="184"/>
      <c r="G18" s="182">
        <f>'ADB Inc. Statement'!G18+'ANT Inc Statement'!G18+'ACC Inc Statement'!G18+'PUC Inc. Statement'!G19+'AASPA Inc. Statement'!G18+'AFSC Inc. Statement'!G18+'PSPF Inc. Statement'!G18+'ATB Inc. Statement'!G18+'ASSB Inc. Statement'!G18+'HAA Inc. Statement'!G18+'WCA Inc. Statement'!G18</f>
        <v>476595</v>
      </c>
      <c r="H18" s="182">
        <f>'ADB Inc. Statement'!H18+'ANT Inc Statement'!H18+'ACC Inc Statement'!H18+'PUC Inc. Statement'!H19+'AASPA Inc. Statement'!H18+'AFSC Inc. Statement'!H18+'PSPF Inc. Statement'!H18+'ATB Inc. Statement'!H18+'ASSB Inc. Statement'!H18+'HAA Inc. Statement'!H18+'WCA Inc. Statement'!H18</f>
        <v>541674.51</v>
      </c>
      <c r="I18" s="182">
        <f t="shared" si="13"/>
        <v>65079.510000000009</v>
      </c>
      <c r="J18" s="183">
        <f t="shared" si="1"/>
        <v>0.13655097095017785</v>
      </c>
      <c r="K18" s="184"/>
      <c r="L18" s="182">
        <f>'ADB Inc. Statement'!L18+'ANT Inc Statement'!L18+'ACC Inc Statement'!L18+'PUC Inc. Statement'!L19+'AASPA Inc. Statement'!L18+'AFSC Inc. Statement'!L18+'PSPF Inc. Statement'!L18+'ATB Inc. Statement'!L18+'ASSB Inc. Statement'!L18+'HAA Inc. Statement'!L18+'WCA Inc. Statement'!L18</f>
        <v>469267</v>
      </c>
      <c r="M18" s="182">
        <f>'ADB Inc. Statement'!M18+'ANT Inc Statement'!M18+'ACC Inc Statement'!M18+'PUC Inc. Statement'!M19+'AASPA Inc. Statement'!M18+'AFSC Inc. Statement'!M18+'PSPF Inc. Statement'!M18+'ATB Inc. Statement'!M18+'ASSB Inc. Statement'!M18+'HAA Inc. Statement'!M18+'WCA Inc. Statement'!M18</f>
        <v>363379.77999999997</v>
      </c>
      <c r="N18" s="182">
        <f t="shared" si="6"/>
        <v>-105887.22000000003</v>
      </c>
      <c r="O18" s="185">
        <f t="shared" si="2"/>
        <v>-0.2256438658588821</v>
      </c>
      <c r="P18" s="184"/>
      <c r="Q18" s="182">
        <f>'ADB Inc. Statement'!Q18+'ANT Inc Statement'!Q18+'ACC Inc Statement'!Q18+'PUC Inc. Statement'!Q19+'AASPA Inc. Statement'!Q18+'AFSC Inc. Statement'!Q18+'PSPF Inc. Statement'!Q18+'ATB Inc. Statement'!Q18+'ASSB Inc. Statement'!Q18+'HAA Inc. Statement'!Q18+'WCA Inc. Statement'!Q18</f>
        <v>470824</v>
      </c>
      <c r="R18" s="182">
        <f>'ADB Inc. Statement'!R18+'ANT Inc Statement'!R18+'ACC Inc Statement'!R18+'PUC Inc. Statement'!R19+'AASPA Inc. Statement'!R18+'AFSC Inc. Statement'!R18+'PSPF Inc. Statement'!R18+'ATB Inc. Statement'!R18+'ASSB Inc. Statement'!R18+'HAA Inc. Statement'!R18+'WCA Inc. Statement'!R18</f>
        <v>1035213.7200000002</v>
      </c>
      <c r="S18" s="182">
        <f t="shared" si="7"/>
        <v>564389.7200000002</v>
      </c>
      <c r="T18" s="185">
        <f t="shared" si="3"/>
        <v>1.1987275924761698</v>
      </c>
      <c r="U18" s="186"/>
      <c r="V18" s="187">
        <f t="shared" si="8"/>
        <v>1938087.2386940001</v>
      </c>
      <c r="W18" s="182">
        <f t="shared" si="9"/>
        <v>2469847.9394922405</v>
      </c>
      <c r="X18" s="182">
        <f t="shared" si="10"/>
        <v>531760.70079824049</v>
      </c>
      <c r="Y18" s="185">
        <f t="shared" si="4"/>
        <v>0.27437397562999943</v>
      </c>
      <c r="Z18" s="188"/>
      <c r="AA18" s="182">
        <f>'ADB Inc. Statement'!AA18+'ANT Inc Statement'!AA18+'ACC Inc Statement'!AA18+'PUC Inc. Statement'!AA18+'AASPA Inc. Statement'!AA18+'AFSC Inc. Statement'!AA18+'PSPF Inc. Statement'!AA18+'ATB Inc. Statement'!AA18+'ASSB Inc. Statement'!AA18+'HAA Inc. Statement'!AA18+'WCA Inc. Statement'!AA18</f>
        <v>785353.18846199999</v>
      </c>
      <c r="AB18" s="182">
        <f t="shared" si="11"/>
        <v>-1684494.7510302407</v>
      </c>
      <c r="AC18" s="185">
        <f t="shared" si="12"/>
        <v>-2.144888154499097</v>
      </c>
      <c r="AD18" s="184"/>
      <c r="AE18" s="189"/>
    </row>
    <row r="19" spans="1:33" x14ac:dyDescent="0.3">
      <c r="A19" s="190" t="s">
        <v>202</v>
      </c>
      <c r="B19" s="182">
        <f>'ADB Inc. Statement'!B19+'ANT Inc Statement'!B19+'ACC Inc Statement'!B19+'PUC Inc. Statement'!B19+'AASPA Inc. Statement'!B19+'AFSC Inc. Statement'!B19+'PSPF Inc. Statement'!B19+'ATB Inc. Statement'!B19+'ASSB Inc. Statement'!B19+'HAA Inc. Statement'!B19+'WCA Inc. Statement'!B19</f>
        <v>115024.25</v>
      </c>
      <c r="C19" s="182">
        <f>'ADB Inc. Statement'!C19+'ANT Inc Statement'!C19+'ACC Inc Statement'!C19+'PUC Inc. Statement'!C19+'AASPA Inc. Statement'!C19+'AFSC Inc. Statement'!C19+'PSPF Inc. Statement'!C19+'ATB Inc. Statement'!C19+'ASSB Inc. Statement'!C19+'HAA Inc. Statement'!C19+'WCA Inc. Statement'!C19</f>
        <v>251453.6</v>
      </c>
      <c r="D19" s="182">
        <f t="shared" si="5"/>
        <v>136429.35</v>
      </c>
      <c r="E19" s="183">
        <f t="shared" si="0"/>
        <v>1.1860920631953698</v>
      </c>
      <c r="F19" s="184"/>
      <c r="G19" s="182">
        <f>'ADB Inc. Statement'!G19+'ANT Inc Statement'!G19+'ACC Inc Statement'!G19+'PUC Inc. Statement'!G20+'AASPA Inc. Statement'!G19+'AFSC Inc. Statement'!G19+'PSPF Inc. Statement'!G19+'ATB Inc. Statement'!G19+'ASSB Inc. Statement'!G19+'HAA Inc. Statement'!G19+'WCA Inc. Statement'!G19</f>
        <v>115024.25</v>
      </c>
      <c r="H19" s="182">
        <f>'ADB Inc. Statement'!H19+'ANT Inc Statement'!H19+'ACC Inc Statement'!H19+'PUC Inc. Statement'!H20+'AASPA Inc. Statement'!H19+'AFSC Inc. Statement'!H19+'PSPF Inc. Statement'!H19+'ATB Inc. Statement'!H19+'ASSB Inc. Statement'!H19+'HAA Inc. Statement'!H19+'WCA Inc. Statement'!H19</f>
        <v>121938.82999999999</v>
      </c>
      <c r="I19" s="182">
        <f t="shared" si="13"/>
        <v>6914.5799999999872</v>
      </c>
      <c r="J19" s="183"/>
      <c r="K19" s="184"/>
      <c r="L19" s="182">
        <f>'ADB Inc. Statement'!L19+'ANT Inc Statement'!L19+'ACC Inc Statement'!L19+'PUC Inc. Statement'!L20+'AASPA Inc. Statement'!L19+'AFSC Inc. Statement'!L19+'PSPF Inc. Statement'!L19+'ATB Inc. Statement'!L19+'ASSB Inc. Statement'!L19+'HAA Inc. Statement'!L19+'WCA Inc. Statement'!L19</f>
        <v>115024.25</v>
      </c>
      <c r="M19" s="182">
        <f>'ADB Inc. Statement'!M19+'ANT Inc Statement'!M19+'ACC Inc Statement'!M19+'PUC Inc. Statement'!M20+'AASPA Inc. Statement'!M19+'AFSC Inc. Statement'!M19+'PSPF Inc. Statement'!M19+'ATB Inc. Statement'!M19+'ASSB Inc. Statement'!M19+'HAA Inc. Statement'!M19+'WCA Inc. Statement'!M19</f>
        <v>0</v>
      </c>
      <c r="N19" s="182">
        <f t="shared" si="6"/>
        <v>-115024.25</v>
      </c>
      <c r="O19" s="185">
        <f t="shared" si="2"/>
        <v>-1</v>
      </c>
      <c r="P19" s="184"/>
      <c r="Q19" s="182">
        <f>'ADB Inc. Statement'!Q19+'ANT Inc Statement'!Q19+'ACC Inc Statement'!Q19+'PUC Inc. Statement'!Q20+'AASPA Inc. Statement'!Q19+'AFSC Inc. Statement'!Q19+'PSPF Inc. Statement'!Q19+'ATB Inc. Statement'!Q19+'ASSB Inc. Statement'!Q19+'HAA Inc. Statement'!Q19+'WCA Inc. Statement'!Q19</f>
        <v>115025.25</v>
      </c>
      <c r="R19" s="182">
        <f>'ADB Inc. Statement'!R19+'ANT Inc Statement'!R19+'ACC Inc Statement'!R19+'PUC Inc. Statement'!R20+'AASPA Inc. Statement'!R19+'AFSC Inc. Statement'!R19+'PSPF Inc. Statement'!R19+'ATB Inc. Statement'!R19+'ASSB Inc. Statement'!R19+'HAA Inc. Statement'!R19+'WCA Inc. Statement'!R19</f>
        <v>472641.52000000008</v>
      </c>
      <c r="S19" s="182">
        <f t="shared" si="7"/>
        <v>357616.27000000008</v>
      </c>
      <c r="T19" s="185">
        <f t="shared" si="3"/>
        <v>3.1090240621081029</v>
      </c>
      <c r="U19" s="186"/>
      <c r="V19" s="187">
        <f t="shared" si="8"/>
        <v>460098</v>
      </c>
      <c r="W19" s="182">
        <f t="shared" si="9"/>
        <v>846033.95000000007</v>
      </c>
      <c r="X19" s="182">
        <f t="shared" si="10"/>
        <v>385935.95000000007</v>
      </c>
      <c r="Y19" s="185">
        <f t="shared" si="4"/>
        <v>0.83881249212124387</v>
      </c>
      <c r="Z19" s="188"/>
      <c r="AA19" s="182">
        <f>'ADB Inc. Statement'!AA19+'ANT Inc Statement'!AA19+'ACC Inc Statement'!AA19+'PUC Inc. Statement'!AA19+'AASPA Inc. Statement'!AA19+'AFSC Inc. Statement'!AA19+'PSPF Inc. Statement'!AA19+'ATB Inc. Statement'!AA19+'ASSB Inc. Statement'!AA19+'HAA Inc. Statement'!AA19+'WCA Inc. Statement'!AA19</f>
        <v>460097</v>
      </c>
      <c r="AB19" s="182">
        <f t="shared" si="11"/>
        <v>-385936.95000000007</v>
      </c>
      <c r="AC19" s="185">
        <f t="shared" si="12"/>
        <v>-0.8388164886969488</v>
      </c>
      <c r="AD19" s="184"/>
      <c r="AE19" s="189"/>
    </row>
    <row r="20" spans="1:33" x14ac:dyDescent="0.3">
      <c r="A20" s="194" t="s">
        <v>67</v>
      </c>
      <c r="B20" s="182">
        <f>'ADB Inc. Statement'!B20+'ANT Inc Statement'!B19+'ACC Inc Statement'!B20+'PUC Inc. Statement'!B19+'AASPA Inc. Statement'!B19+'AFSC Inc. Statement'!B20+'PSPF Inc. Statement'!B19+'ATB Inc. Statement'!B20+'ASSB Inc. Statement'!B19+'HAA Inc. Statement'!B20+'WCA Inc. Statement'!B20</f>
        <v>2.3445125</v>
      </c>
      <c r="C20" s="182">
        <f>'ADB Inc. Statement'!C20+'ANT Inc Statement'!C20+'ACC Inc Statement'!C20+'PUC Inc. Statement'!C20+'AASPA Inc. Statement'!C20+'AFSC Inc. Statement'!C20+'PSPF Inc. Statement'!C20+'ATB Inc. Statement'!C20+'ASSB Inc. Statement'!C20+'HAA Inc. Statement'!C20+'WCA Inc. Statement'!C20</f>
        <v>28.468633279999999</v>
      </c>
      <c r="D20" s="182">
        <f t="shared" si="5"/>
        <v>26.124120779999998</v>
      </c>
      <c r="E20" s="183">
        <f t="shared" si="0"/>
        <v>11.142666451980954</v>
      </c>
      <c r="F20" s="184"/>
      <c r="G20" s="182">
        <f>'ADB Inc. Statement'!G20+'ANT Inc Statement'!G20+'ACC Inc Statement'!G20+'PUC Inc. Statement'!G21+'AASPA Inc. Statement'!G20+'AFSC Inc. Statement'!G20+'PSPF Inc. Statement'!G20+'ATB Inc. Statement'!G20+'ASSB Inc. Statement'!G20+'HAA Inc. Statement'!G20+'WCA Inc. Statement'!G20</f>
        <v>2.3445125</v>
      </c>
      <c r="H20" s="182">
        <f>'ADB Inc. Statement'!H20+'ANT Inc Statement'!H20+'ACC Inc Statement'!H20+'PUC Inc. Statement'!H21+'AASPA Inc. Statement'!H20+'AFSC Inc. Statement'!H20+'PSPF Inc. Statement'!H20+'ATB Inc. Statement'!H20+'ASSB Inc. Statement'!H20+'HAA Inc. Statement'!H20+'WCA Inc. Statement'!H20</f>
        <v>1.83860709</v>
      </c>
      <c r="I20" s="182">
        <f t="shared" si="13"/>
        <v>-0.50590541</v>
      </c>
      <c r="J20" s="183">
        <f t="shared" si="1"/>
        <v>-0.21578277360432072</v>
      </c>
      <c r="K20" s="184"/>
      <c r="L20" s="182">
        <f>'ADB Inc. Statement'!L20+'ANT Inc Statement'!L20+'ACC Inc Statement'!L20+'PUC Inc. Statement'!L21+'AASPA Inc. Statement'!L20+'AFSC Inc. Statement'!L20+'PSPF Inc. Statement'!L20+'ATB Inc. Statement'!L20+'ASSB Inc. Statement'!L20+'HAA Inc. Statement'!L20+'WCA Inc. Statement'!L20</f>
        <v>0</v>
      </c>
      <c r="M20" s="182">
        <f>'ADB Inc. Statement'!M20+'ANT Inc Statement'!M20+'ACC Inc Statement'!M20+'PUC Inc. Statement'!M21+'AASPA Inc. Statement'!M20+'AFSC Inc. Statement'!M20+'PSPF Inc. Statement'!M20+'ATB Inc. Statement'!M20+'ASSB Inc. Statement'!M20+'HAA Inc. Statement'!M20+'WCA Inc. Statement'!M20</f>
        <v>0</v>
      </c>
      <c r="N20" s="182">
        <f t="shared" si="6"/>
        <v>0</v>
      </c>
      <c r="O20" s="185" t="str">
        <f t="shared" si="2"/>
        <v>-</v>
      </c>
      <c r="P20" s="184"/>
      <c r="Q20" s="182">
        <f>'ADB Inc. Statement'!Q20+'ANT Inc Statement'!Q20+'ACC Inc Statement'!Q20+'PUC Inc. Statement'!Q21+'AASPA Inc. Statement'!Q20+'AFSC Inc. Statement'!Q20+'PSPF Inc. Statement'!Q20+'ATB Inc. Statement'!Q20+'ASSB Inc. Statement'!Q20+'HAA Inc. Statement'!Q20+'WCA Inc. Statement'!Q20</f>
        <v>0</v>
      </c>
      <c r="R20" s="182">
        <f>'ADB Inc. Statement'!R20+'ANT Inc Statement'!R20+'ACC Inc Statement'!R20+'PUC Inc. Statement'!R21+'AASPA Inc. Statement'!R20+'AFSC Inc. Statement'!R20+'PSPF Inc. Statement'!R20+'ATB Inc. Statement'!R20+'ASSB Inc. Statement'!R20+'HAA Inc. Statement'!R20+'WCA Inc. Statement'!R20</f>
        <v>0</v>
      </c>
      <c r="S20" s="182">
        <f t="shared" si="7"/>
        <v>0</v>
      </c>
      <c r="T20" s="185" t="str">
        <f t="shared" si="3"/>
        <v>-</v>
      </c>
      <c r="U20" s="186"/>
      <c r="V20" s="187">
        <f t="shared" si="8"/>
        <v>4.689025</v>
      </c>
      <c r="W20" s="182">
        <f t="shared" si="9"/>
        <v>30.307240369999999</v>
      </c>
      <c r="X20" s="182">
        <f t="shared" si="10"/>
        <v>25.618215369999998</v>
      </c>
      <c r="Y20" s="185">
        <f t="shared" si="4"/>
        <v>5.4634418391883166</v>
      </c>
      <c r="Z20" s="188"/>
      <c r="AA20" s="182">
        <f>'ADB Inc. Statement'!AA20+'ANT Inc Statement'!AA20+'ACC Inc Statement'!AA20+'PUC Inc. Statement'!AA20+'AASPA Inc. Statement'!AA20+'AFSC Inc. Statement'!AA20+'PSPF Inc. Statement'!AA20+'ATB Inc. Statement'!AA20+'ASSB Inc. Statement'!AA20+'HAA Inc. Statement'!AA20+'WCA Inc. Statement'!AA20</f>
        <v>9378049.9800000004</v>
      </c>
      <c r="AB20" s="182">
        <f t="shared" si="11"/>
        <v>9378019.6727596298</v>
      </c>
      <c r="AC20" s="185">
        <f t="shared" si="12"/>
        <v>0.99999676827907347</v>
      </c>
      <c r="AD20" s="184"/>
      <c r="AE20" s="189"/>
    </row>
    <row r="21" spans="1:33" x14ac:dyDescent="0.3">
      <c r="A21" s="181" t="s">
        <v>112</v>
      </c>
      <c r="B21" s="182">
        <f>'ADB Inc. Statement'!B21+'ANT Inc Statement'!B20+'ACC Inc Statement'!B21+'PUC Inc. Statement'!B20+'AASPA Inc. Statement'!B20+'AFSC Inc. Statement'!B21+'PSPF Inc. Statement'!B20+'ATB Inc. Statement'!B21+'ASSB Inc. Statement'!B20+'HAA Inc. Statement'!B21+'WCA Inc. Statement'!B21</f>
        <v>8613967.125</v>
      </c>
      <c r="C21" s="182">
        <f>'ADB Inc. Statement'!C21+'ANT Inc Statement'!C20+'ACC Inc Statement'!C21+'PUC Inc. Statement'!C20+'AASPA Inc. Statement'!C20+'AFSC Inc. Statement'!C21+'PSPF Inc. Statement'!C20+'ATB Inc. Statement'!C21+'ASSB Inc. Statement'!C20+'HAA Inc. Statement'!C21+'WCA Inc. Statement'!C21</f>
        <v>8244061.3500000006</v>
      </c>
      <c r="D21" s="182">
        <f t="shared" si="5"/>
        <v>-369905.77499999944</v>
      </c>
      <c r="E21" s="183">
        <f t="shared" si="0"/>
        <v>-4.2942557085739914E-2</v>
      </c>
      <c r="F21" s="184"/>
      <c r="G21" s="182">
        <f>'ADB Inc. Statement'!G21+'ANT Inc Statement'!G21+'ACC Inc Statement'!G21+'PUC Inc. Statement'!G22+'AASPA Inc. Statement'!G21+'AFSC Inc. Statement'!G21+'PSPF Inc. Statement'!G21+'ATB Inc. Statement'!G21+'ASSB Inc. Statement'!G21+'HAA Inc. Statement'!G21+'WCA Inc. Statement'!G21</f>
        <v>8703967.125</v>
      </c>
      <c r="H21" s="182">
        <f>'ADB Inc. Statement'!H21+'ANT Inc Statement'!H21+'ACC Inc Statement'!H21+'PUC Inc. Statement'!H22+'AASPA Inc. Statement'!H21+'AFSC Inc. Statement'!H21+'PSPF Inc. Statement'!H21+'ATB Inc. Statement'!H21+'ASSB Inc. Statement'!H21+'HAA Inc. Statement'!H21+'WCA Inc. Statement'!H21</f>
        <v>9073899.6600000001</v>
      </c>
      <c r="I21" s="182">
        <f t="shared" si="13"/>
        <v>369932.53500000015</v>
      </c>
      <c r="J21" s="183">
        <f t="shared" si="1"/>
        <v>4.2501600670969926E-2</v>
      </c>
      <c r="K21" s="184"/>
      <c r="L21" s="182">
        <f>'ADB Inc. Statement'!L21+'ANT Inc Statement'!L21+'ACC Inc Statement'!L21+'PUC Inc. Statement'!L22+'AASPA Inc. Statement'!L21+'AFSC Inc. Statement'!L21+'PSPF Inc. Statement'!L21+'ATB Inc. Statement'!L21+'ASSB Inc. Statement'!L21+'HAA Inc. Statement'!L21+'WCA Inc. Statement'!L21</f>
        <v>8703966</v>
      </c>
      <c r="M21" s="182">
        <f>'ADB Inc. Statement'!M21+'ANT Inc Statement'!M21+'ACC Inc Statement'!M21+'PUC Inc. Statement'!M22+'AASPA Inc. Statement'!M21+'AFSC Inc. Statement'!M21+'PSPF Inc. Statement'!M21+'ATB Inc. Statement'!M21+'ASSB Inc. Statement'!M21+'HAA Inc. Statement'!M21+'WCA Inc. Statement'!M21</f>
        <v>8703965.9699999988</v>
      </c>
      <c r="N21" s="182">
        <f t="shared" si="6"/>
        <v>-3.0000001192092896E-2</v>
      </c>
      <c r="O21" s="185">
        <f t="shared" si="2"/>
        <v>-3.4467047771203261E-9</v>
      </c>
      <c r="P21" s="184"/>
      <c r="Q21" s="182">
        <f>'ADB Inc. Statement'!Q21+'ANT Inc Statement'!Q21+'ACC Inc Statement'!Q21+'PUC Inc. Statement'!Q22+'AASPA Inc. Statement'!Q21+'AFSC Inc. Statement'!Q21+'PSPF Inc. Statement'!Q21+'ATB Inc. Statement'!Q21+'ASSB Inc. Statement'!Q21+'HAA Inc. Statement'!Q21+'WCA Inc. Statement'!Q21</f>
        <v>8703966</v>
      </c>
      <c r="R21" s="182">
        <f>'ADB Inc. Statement'!R21+'ANT Inc Statement'!R21+'ACC Inc Statement'!R21+'PUC Inc. Statement'!R22+'AASPA Inc. Statement'!R21+'AFSC Inc. Statement'!R21+'PSPF Inc. Statement'!R21+'ATB Inc. Statement'!R21+'ASSB Inc. Statement'!R21+'HAA Inc. Statement'!R21+'WCA Inc. Statement'!R21</f>
        <v>10384095.18</v>
      </c>
      <c r="S21" s="182">
        <f t="shared" si="7"/>
        <v>1680129.1799999997</v>
      </c>
      <c r="T21" s="185">
        <f t="shared" si="3"/>
        <v>0.19303030135917348</v>
      </c>
      <c r="U21" s="186"/>
      <c r="V21" s="187">
        <f t="shared" si="8"/>
        <v>34725866.25</v>
      </c>
      <c r="W21" s="182">
        <f t="shared" si="9"/>
        <v>36406022.159999996</v>
      </c>
      <c r="X21" s="182">
        <f t="shared" si="10"/>
        <v>1680155.9099999964</v>
      </c>
      <c r="Y21" s="185">
        <f t="shared" si="4"/>
        <v>4.8383412465628453E-2</v>
      </c>
      <c r="Z21" s="188"/>
      <c r="AA21" s="182">
        <f>'ADB Inc. Statement'!AA21+'ANT Inc Statement'!AA21+'ACC Inc Statement'!AA21+'PUC Inc. Statement'!AA21+'AASPA Inc. Statement'!AA21+'AFSC Inc. Statement'!AA21+'PSPF Inc. Statement'!AA21+'ATB Inc. Statement'!AA21+'ASSB Inc. Statement'!AA21+'HAA Inc. Statement'!AA21+'WCA Inc. Statement'!AA21</f>
        <v>42315864</v>
      </c>
      <c r="AB21" s="182">
        <f t="shared" si="11"/>
        <v>5909841.8400000036</v>
      </c>
      <c r="AC21" s="185">
        <f t="shared" si="12"/>
        <v>0.13966019552383482</v>
      </c>
      <c r="AD21" s="184"/>
      <c r="AE21" s="189"/>
    </row>
    <row r="22" spans="1:33" x14ac:dyDescent="0.3">
      <c r="A22" s="190" t="s">
        <v>70</v>
      </c>
      <c r="B22" s="182">
        <f>'ADB Inc. Statement'!B22+'ANT Inc Statement'!B21+'ACC Inc Statement'!B22+'PUC Inc. Statement'!B21+'AASPA Inc. Statement'!B21+'AFSC Inc. Statement'!B22+'PSPF Inc. Statement'!B21+'ATB Inc. Statement'!B22+'ASSB Inc. Statement'!B21+'HAA Inc. Statement'!B22+'WCA Inc. Statement'!B22</f>
        <v>690663</v>
      </c>
      <c r="C22" s="182">
        <f>'ADB Inc. Statement'!C22+'ANT Inc Statement'!C21+'ACC Inc Statement'!C22+'PUC Inc. Statement'!C21+'AASPA Inc. Statement'!C21+'AFSC Inc. Statement'!C22+'PSPF Inc. Statement'!C21+'ATB Inc. Statement'!C22+'ASSB Inc. Statement'!C21+'HAA Inc. Statement'!C22+'WCA Inc. Statement'!C22</f>
        <v>688770.5</v>
      </c>
      <c r="D22" s="182">
        <f t="shared" si="5"/>
        <v>-1892.5</v>
      </c>
      <c r="E22" s="183">
        <f t="shared" si="0"/>
        <v>-2.7401207245791362E-3</v>
      </c>
      <c r="F22" s="184"/>
      <c r="G22" s="182">
        <f>'ADB Inc. Statement'!G22+'ANT Inc Statement'!G22+'ACC Inc Statement'!G22+'PUC Inc. Statement'!G23+'AASPA Inc. Statement'!G22+'AFSC Inc. Statement'!G22+'PSPF Inc. Statement'!G22+'ATB Inc. Statement'!G22+'ASSB Inc. Statement'!G22+'HAA Inc. Statement'!G22+'WCA Inc. Statement'!G22</f>
        <v>996913</v>
      </c>
      <c r="H22" s="182">
        <f>'ADB Inc. Statement'!H22+'ANT Inc Statement'!H22+'ACC Inc Statement'!H22+'PUC Inc. Statement'!H23+'AASPA Inc. Statement'!H22+'AFSC Inc. Statement'!H22+'PSPF Inc. Statement'!H22+'ATB Inc. Statement'!H22+'ASSB Inc. Statement'!H22+'HAA Inc. Statement'!H22+'WCA Inc. Statement'!H22</f>
        <v>1601738.07</v>
      </c>
      <c r="I22" s="182">
        <f t="shared" si="13"/>
        <v>604825.07000000007</v>
      </c>
      <c r="J22" s="183">
        <f t="shared" si="1"/>
        <v>0.60669794656103393</v>
      </c>
      <c r="K22" s="184"/>
      <c r="L22" s="182">
        <f>'ADB Inc. Statement'!L22+'ANT Inc Statement'!L22+'ACC Inc Statement'!L22+'PUC Inc. Statement'!L23+'AASPA Inc. Statement'!L22+'AFSC Inc. Statement'!L22+'PSPF Inc. Statement'!L22+'ATB Inc. Statement'!L22+'ASSB Inc. Statement'!L22+'HAA Inc. Statement'!L22+'WCA Inc. Statement'!L22</f>
        <v>996913</v>
      </c>
      <c r="M22" s="182">
        <f>'ADB Inc. Statement'!M22+'ANT Inc Statement'!M22+'ACC Inc Statement'!M22+'PUC Inc. Statement'!M23+'AASPA Inc. Statement'!M22+'AFSC Inc. Statement'!M22+'PSPF Inc. Statement'!M22+'ATB Inc. Statement'!M22+'ASSB Inc. Statement'!M22+'HAA Inc. Statement'!M22+'WCA Inc. Statement'!M22</f>
        <v>160392.02999999991</v>
      </c>
      <c r="N22" s="182">
        <f t="shared" si="6"/>
        <v>-836520.97000000009</v>
      </c>
      <c r="O22" s="185">
        <f t="shared" si="2"/>
        <v>-0.8391113066034851</v>
      </c>
      <c r="P22" s="184"/>
      <c r="Q22" s="182">
        <f>'ADB Inc. Statement'!Q22+'ANT Inc Statement'!Q22+'ACC Inc Statement'!Q22+'PUC Inc. Statement'!Q23+'AASPA Inc. Statement'!Q22+'AFSC Inc. Statement'!Q22+'PSPF Inc. Statement'!Q22+'ATB Inc. Statement'!Q22+'ASSB Inc. Statement'!Q22+'HAA Inc. Statement'!Q22+'WCA Inc. Statement'!Q22</f>
        <v>996913</v>
      </c>
      <c r="R22" s="182">
        <f>'ADB Inc. Statement'!R22+'ANT Inc Statement'!R22+'ACC Inc Statement'!R22+'PUC Inc. Statement'!R23+'AASPA Inc. Statement'!R22+'AFSC Inc. Statement'!R22+'PSPF Inc. Statement'!R22+'ATB Inc. Statement'!R22+'ASSB Inc. Statement'!R22+'HAA Inc. Statement'!R22+'WCA Inc. Statement'!R22</f>
        <v>2357390.36</v>
      </c>
      <c r="S22" s="182">
        <f t="shared" si="7"/>
        <v>1360477.3599999999</v>
      </c>
      <c r="T22" s="185">
        <f t="shared" si="3"/>
        <v>1.3646901585193492</v>
      </c>
      <c r="U22" s="186"/>
      <c r="V22" s="187">
        <f t="shared" si="8"/>
        <v>3681402</v>
      </c>
      <c r="W22" s="182">
        <f t="shared" si="9"/>
        <v>4808290.96</v>
      </c>
      <c r="X22" s="182">
        <f t="shared" si="10"/>
        <v>1126888.96</v>
      </c>
      <c r="Y22" s="185">
        <f t="shared" si="4"/>
        <v>0.30610320741934727</v>
      </c>
      <c r="Z22" s="188"/>
      <c r="AA22" s="182">
        <f>'ADB Inc. Statement'!AA22+'ANT Inc Statement'!AA22+'ACC Inc Statement'!AA22+'PUC Inc. Statement'!AA22+'AASPA Inc. Statement'!AA22+'AFSC Inc. Statement'!AA22+'PSPF Inc. Statement'!AA22+'ATB Inc. Statement'!AA22+'ASSB Inc. Statement'!AA22+'HAA Inc. Statement'!AA22+'WCA Inc. Statement'!AA22</f>
        <v>4009169.65</v>
      </c>
      <c r="AB22" s="182">
        <f t="shared" si="11"/>
        <v>-799121.31</v>
      </c>
      <c r="AC22" s="185">
        <f t="shared" si="12"/>
        <v>-0.1993233960553403</v>
      </c>
      <c r="AD22" s="184"/>
      <c r="AE22" s="189"/>
      <c r="AG22" s="195"/>
    </row>
    <row r="23" spans="1:33" x14ac:dyDescent="0.3">
      <c r="A23" s="190" t="s">
        <v>72</v>
      </c>
      <c r="B23" s="182">
        <f>'ADB Inc. Statement'!B23+'ANT Inc Statement'!B22+'ACC Inc Statement'!B23+'PUC Inc. Statement'!B22+'AASPA Inc. Statement'!B22+'AFSC Inc. Statement'!B23+'PSPF Inc. Statement'!B22+'ATB Inc. Statement'!B23+'ASSB Inc. Statement'!B22+'HAA Inc. Statement'!B23+'WCA Inc. Statement'!B23</f>
        <v>396250</v>
      </c>
      <c r="C23" s="182">
        <f>'ADB Inc. Statement'!C23+'ANT Inc Statement'!C22+'ACC Inc Statement'!C23+'PUC Inc. Statement'!C22+'AASPA Inc. Statement'!C22+'AFSC Inc. Statement'!C23+'PSPF Inc. Statement'!C22+'ATB Inc. Statement'!C23+'ASSB Inc. Statement'!C22+'HAA Inc. Statement'!C23+'WCA Inc. Statement'!C23</f>
        <v>27776.66</v>
      </c>
      <c r="D23" s="182">
        <f t="shared" si="5"/>
        <v>-368473.34</v>
      </c>
      <c r="E23" s="183">
        <f t="shared" si="0"/>
        <v>-0.92990117350157731</v>
      </c>
      <c r="F23" s="184"/>
      <c r="G23" s="182">
        <f>'ADB Inc. Statement'!G23+'ANT Inc Statement'!G23+'ACC Inc Statement'!G23+'PUC Inc. Statement'!G24+'AASPA Inc. Statement'!G23+'AFSC Inc. Statement'!G23+'PSPF Inc. Statement'!G23+'ATB Inc. Statement'!G23+'ASSB Inc. Statement'!G23+'HAA Inc. Statement'!G23+'WCA Inc. Statement'!G23</f>
        <v>5379.5</v>
      </c>
      <c r="H23" s="182">
        <f>'ADB Inc. Statement'!H23+'ANT Inc Statement'!H23+'ACC Inc Statement'!H23+'PUC Inc. Statement'!H24+'AASPA Inc. Statement'!H23+'AFSC Inc. Statement'!H23+'PSPF Inc. Statement'!H23+'ATB Inc. Statement'!H23+'ASSB Inc. Statement'!H23+'HAA Inc. Statement'!H23+'WCA Inc. Statement'!H23</f>
        <v>5723.06</v>
      </c>
      <c r="I23" s="182">
        <f t="shared" si="13"/>
        <v>343.5600000000004</v>
      </c>
      <c r="J23" s="183">
        <f t="shared" si="1"/>
        <v>6.3864671437866047E-2</v>
      </c>
      <c r="K23" s="184"/>
      <c r="L23" s="182">
        <f>'ADB Inc. Statement'!L23+'ANT Inc Statement'!L23+'ACC Inc Statement'!L23+'PUC Inc. Statement'!L24+'AASPA Inc. Statement'!L23+'AFSC Inc. Statement'!L23+'PSPF Inc. Statement'!L23+'ATB Inc. Statement'!L23+'ASSB Inc. Statement'!L23+'HAA Inc. Statement'!L23+'WCA Inc. Statement'!L23</f>
        <v>5379.5</v>
      </c>
      <c r="M23" s="182">
        <f>'ADB Inc. Statement'!M23+'ANT Inc Statement'!M23+'ACC Inc Statement'!M23+'PUC Inc. Statement'!M24+'AASPA Inc. Statement'!M23+'AFSC Inc. Statement'!M23+'PSPF Inc. Statement'!M23+'ATB Inc. Statement'!M23+'ASSB Inc. Statement'!M23+'HAA Inc. Statement'!M23+'WCA Inc. Statement'!M23</f>
        <v>5047.55</v>
      </c>
      <c r="N23" s="182">
        <f t="shared" si="6"/>
        <v>-331.94999999999982</v>
      </c>
      <c r="O23" s="185">
        <f t="shared" si="2"/>
        <v>-6.1706478297239485E-2</v>
      </c>
      <c r="P23" s="184"/>
      <c r="Q23" s="182">
        <f>'ADB Inc. Statement'!Q23+'ANT Inc Statement'!Q23+'ACC Inc Statement'!Q23+'PUC Inc. Statement'!Q24+'AASPA Inc. Statement'!Q23+'AFSC Inc. Statement'!Q23+'PSPF Inc. Statement'!Q23+'ATB Inc. Statement'!Q23+'ASSB Inc. Statement'!Q23+'HAA Inc. Statement'!Q23+'WCA Inc. Statement'!Q23</f>
        <v>5379.5</v>
      </c>
      <c r="R23" s="182">
        <f>'ADB Inc. Statement'!R23+'ANT Inc Statement'!R23+'ACC Inc Statement'!R23+'PUC Inc. Statement'!R24+'AASPA Inc. Statement'!R23+'AFSC Inc. Statement'!R23+'PSPF Inc. Statement'!R23+'ATB Inc. Statement'!R23+'ASSB Inc. Statement'!R23+'HAA Inc. Statement'!R23+'WCA Inc. Statement'!R23</f>
        <v>4360.1400000000003</v>
      </c>
      <c r="S23" s="182">
        <f t="shared" si="7"/>
        <v>-1019.3599999999997</v>
      </c>
      <c r="T23" s="185">
        <f t="shared" si="3"/>
        <v>-0.18948972952876655</v>
      </c>
      <c r="U23" s="186"/>
      <c r="V23" s="187">
        <f t="shared" si="8"/>
        <v>412388.5</v>
      </c>
      <c r="W23" s="182">
        <f t="shared" si="9"/>
        <v>42907.41</v>
      </c>
      <c r="X23" s="182">
        <f t="shared" si="10"/>
        <v>-369481.08999999997</v>
      </c>
      <c r="Y23" s="185">
        <f t="shared" si="4"/>
        <v>-0.89595391239086442</v>
      </c>
      <c r="Z23" s="188"/>
      <c r="AA23" s="182">
        <f>'ADB Inc. Statement'!AA23+'ANT Inc Statement'!AA23+'ACC Inc Statement'!AA23+'PUC Inc. Statement'!AA23+'AASPA Inc. Statement'!AA23+'AFSC Inc. Statement'!AA23+'PSPF Inc. Statement'!AA23+'ATB Inc. Statement'!AA23+'ASSB Inc. Statement'!AA23+'HAA Inc. Statement'!AA23+'WCA Inc. Statement'!AA23</f>
        <v>30250001</v>
      </c>
      <c r="AB23" s="182">
        <f t="shared" si="11"/>
        <v>30207093.59</v>
      </c>
      <c r="AC23" s="185">
        <f t="shared" si="12"/>
        <v>0.99858157327003061</v>
      </c>
      <c r="AD23" s="184"/>
      <c r="AE23" s="193"/>
    </row>
    <row r="24" spans="1:33" x14ac:dyDescent="0.3">
      <c r="A24" s="190" t="s">
        <v>131</v>
      </c>
      <c r="B24" s="182">
        <f>'ADB Inc. Statement'!B24+'ANT Inc Statement'!B23+'ACC Inc Statement'!B24+'PUC Inc. Statement'!B23+'AASPA Inc. Statement'!B23+'AFSC Inc. Statement'!B24+'PSPF Inc. Statement'!B23+'ATB Inc. Statement'!B24+'ASSB Inc. Statement'!B24+'HAA Inc. Statement'!B24+'WCA Inc. Statement'!B24</f>
        <v>7562500.25</v>
      </c>
      <c r="C24" s="182">
        <f>'ADB Inc. Statement'!C24+'ANT Inc Statement'!C23+'ACC Inc Statement'!C24+'PUC Inc. Statement'!C23+'AASPA Inc. Statement'!C23+'AFSC Inc. Statement'!C24+'PSPF Inc. Statement'!C23+'ATB Inc. Statement'!C24+'ASSB Inc. Statement'!C24+'HAA Inc. Statement'!C24+'WCA Inc. Statement'!C24</f>
        <v>7961524.2199999997</v>
      </c>
      <c r="D24" s="182">
        <f t="shared" si="5"/>
        <v>399023.96999999974</v>
      </c>
      <c r="E24" s="183">
        <f t="shared" si="0"/>
        <v>5.276349842104134E-2</v>
      </c>
      <c r="F24" s="184"/>
      <c r="G24" s="182">
        <f>'ADB Inc. Statement'!G24+'ANT Inc Statement'!G24+'ACC Inc Statement'!G24+'PUC Inc. Statement'!G25+'AASPA Inc. Statement'!G24+'AFSC Inc. Statement'!G24+'PSPF Inc. Statement'!G24+'ATB Inc. Statement'!G24+'ASSB Inc. Statement'!G24+'HAA Inc. Statement'!G24+'WCA Inc. Statement'!G24</f>
        <v>9510434.5640005842</v>
      </c>
      <c r="H24" s="182">
        <f>'ADB Inc. Statement'!H24+'ANT Inc Statement'!H24+'ACC Inc Statement'!H24+'PUC Inc. Statement'!H25+'AASPA Inc. Statement'!H24+'AFSC Inc. Statement'!H24+'PSPF Inc. Statement'!H24+'ATB Inc. Statement'!H24+'ASSB Inc. Statement'!H24+'HAA Inc. Statement'!H24+'WCA Inc. Statement'!H24</f>
        <v>10172972.14949224</v>
      </c>
      <c r="I24" s="182">
        <f t="shared" si="13"/>
        <v>662537.58549165539</v>
      </c>
      <c r="J24" s="196">
        <f t="shared" si="1"/>
        <v>6.966428095720556E-2</v>
      </c>
      <c r="K24" s="184"/>
      <c r="L24" s="182">
        <f>'ADB Inc. Statement'!L24+'ANT Inc Statement'!L24+'ACC Inc Statement'!L24+'PUC Inc. Statement'!L25+'AASPA Inc. Statement'!L24+'AFSC Inc. Statement'!L24+'PSPF Inc. Statement'!L24+'ATB Inc. Statement'!L24+'ASSB Inc. Statement'!L24+'HAA Inc. Statement'!L24+'WCA Inc. Statement'!L24</f>
        <v>9510434.4900000002</v>
      </c>
      <c r="M24" s="182">
        <f>'ADB Inc. Statement'!M24+'ANT Inc Statement'!M24+'ACC Inc Statement'!M24+'PUC Inc. Statement'!M25+'AASPA Inc. Statement'!M24+'AFSC Inc. Statement'!M24+'PSPF Inc. Statement'!M24+'ATB Inc. Statement'!M24+'ASSB Inc. Statement'!M24+'HAA Inc. Statement'!M24+'WCA Inc. Statement'!M24</f>
        <v>11393104.930000002</v>
      </c>
      <c r="N24" s="182">
        <f t="shared" si="6"/>
        <v>1882670.4400000013</v>
      </c>
      <c r="O24" s="185">
        <f t="shared" si="2"/>
        <v>0.19795840473740556</v>
      </c>
      <c r="P24" s="184"/>
      <c r="Q24" s="182">
        <f>'ADB Inc. Statement'!Q24+'ANT Inc Statement'!Q24+'ACC Inc Statement'!Q24+'PUC Inc. Statement'!Q25+'AASPA Inc. Statement'!Q24+'AFSC Inc. Statement'!Q24+'PSPF Inc. Statement'!Q24+'ATB Inc. Statement'!Q24+'ASSB Inc. Statement'!Q24+'HAA Inc. Statement'!Q24+'WCA Inc. Statement'!Q24</f>
        <v>9510434.5640005842</v>
      </c>
      <c r="R24" s="182">
        <f>'ADB Inc. Statement'!R24+'ANT Inc Statement'!R24+'ACC Inc Statement'!R24+'PUC Inc. Statement'!R25+'AASPA Inc. Statement'!R24+'AFSC Inc. Statement'!R24+'PSPF Inc. Statement'!R24+'ATB Inc. Statement'!R24+'ASSB Inc. Statement'!R24+'HAA Inc. Statement'!R24+'WCA Inc. Statement'!R24</f>
        <v>10424963.089492271</v>
      </c>
      <c r="S24" s="182">
        <f t="shared" si="7"/>
        <v>914528.52549168654</v>
      </c>
      <c r="T24" s="185">
        <f t="shared" si="3"/>
        <v>9.6160540229508526E-2</v>
      </c>
      <c r="U24" s="198"/>
      <c r="V24" s="187">
        <f t="shared" si="8"/>
        <v>36093803.86800117</v>
      </c>
      <c r="W24" s="182">
        <f t="shared" si="9"/>
        <v>39952564.388984509</v>
      </c>
      <c r="X24" s="182">
        <f t="shared" si="10"/>
        <v>3858760.5209833384</v>
      </c>
      <c r="Y24" s="185">
        <f t="shared" si="4"/>
        <v>0.10690922284321239</v>
      </c>
      <c r="Z24" s="188"/>
      <c r="AA24" s="182">
        <f>'ADB Inc. Statement'!AA24+'ANT Inc Statement'!AA24+'ACC Inc Statement'!AA24+'PUC Inc. Statement'!AA24+'AASPA Inc. Statement'!AA24+'AFSC Inc. Statement'!AA24+'PSPF Inc. Statement'!AA24+'ATB Inc. Statement'!AA24+'ASSB Inc. Statement'!AA24+'HAA Inc. Statement'!AA24+'WCA Inc. Statement'!AA24</f>
        <v>7791736</v>
      </c>
      <c r="AB24" s="182">
        <f t="shared" si="11"/>
        <v>-32160828.388984509</v>
      </c>
      <c r="AC24" s="185">
        <f t="shared" si="12"/>
        <v>-4.12755621969026</v>
      </c>
      <c r="AD24" s="184"/>
      <c r="AE24" s="189"/>
    </row>
    <row r="25" spans="1:33" x14ac:dyDescent="0.3">
      <c r="A25" s="199" t="s">
        <v>73</v>
      </c>
      <c r="B25" s="200">
        <f>SUM(B14:B24)</f>
        <v>35071912.566927671</v>
      </c>
      <c r="C25" s="201">
        <f>SUM(C14:C24)</f>
        <v>37317079.61875952</v>
      </c>
      <c r="D25" s="201">
        <f>SUM(D14:D24)</f>
        <v>2245167.0518318443</v>
      </c>
      <c r="E25" s="202">
        <f t="shared" si="0"/>
        <v>6.4016099707918578E-2</v>
      </c>
      <c r="F25" s="203"/>
      <c r="G25" s="200">
        <f>SUM(G14:G24)</f>
        <v>35388217.674248263</v>
      </c>
      <c r="H25" s="201">
        <f>SUM(H14:H24)</f>
        <v>39010095.419811569</v>
      </c>
      <c r="I25" s="201">
        <f>SUM(I14:I24)</f>
        <v>3621877.7455633092</v>
      </c>
      <c r="J25" s="202">
        <f t="shared" si="1"/>
        <v>0.10234699523166214</v>
      </c>
      <c r="K25" s="203"/>
      <c r="L25" s="200">
        <f>SUM(L14:L24)</f>
        <v>34984024.507799998</v>
      </c>
      <c r="M25" s="201">
        <f>SUM(M14:M24)</f>
        <v>31050128.4278</v>
      </c>
      <c r="N25" s="201">
        <f>SUM(N14:N24)</f>
        <v>-3933896.0799999982</v>
      </c>
      <c r="O25" s="204">
        <f t="shared" si="2"/>
        <v>-0.11244835708147018</v>
      </c>
      <c r="P25" s="203"/>
      <c r="Q25" s="200">
        <f>SUM(Q14:Q24)</f>
        <v>35206292.348507762</v>
      </c>
      <c r="R25" s="201">
        <f>SUM(R14:R24)</f>
        <v>46931346.588232532</v>
      </c>
      <c r="S25" s="201">
        <f>SUM(S14:S24)</f>
        <v>11725054.23972478</v>
      </c>
      <c r="T25" s="205">
        <f t="shared" si="3"/>
        <v>0.33303859786365014</v>
      </c>
      <c r="U25" s="203"/>
      <c r="V25" s="200">
        <f>SUM(V14:V24)</f>
        <v>140650447.09748369</v>
      </c>
      <c r="W25" s="201">
        <f>SUM(W14:W24)</f>
        <v>154308650.05460361</v>
      </c>
      <c r="X25" s="201">
        <f>SUM(X14:X24)</f>
        <v>13658202.957119927</v>
      </c>
      <c r="Y25" s="205">
        <f t="shared" si="4"/>
        <v>9.7107426524236609E-2</v>
      </c>
      <c r="Z25" s="179"/>
      <c r="AA25" s="206">
        <f>SUM(AA14:AA24)</f>
        <v>159597590.10560399</v>
      </c>
      <c r="AB25" s="207">
        <f>SUM(AB14:AB24)</f>
        <v>5288940.051000379</v>
      </c>
      <c r="AC25" s="208">
        <f t="shared" ref="AC25" si="14">IF(ISERROR(AB25/AA25),"-",AB25/AA25)</f>
        <v>3.3139222512700503E-2</v>
      </c>
      <c r="AD25" s="203"/>
      <c r="AE25" s="209"/>
    </row>
    <row r="26" spans="1:33" x14ac:dyDescent="0.3">
      <c r="A26" s="210"/>
      <c r="B26" s="211"/>
      <c r="C26" s="212"/>
      <c r="D26" s="212"/>
      <c r="E26" s="213"/>
      <c r="F26" s="184"/>
      <c r="G26" s="214"/>
      <c r="H26" s="215"/>
      <c r="I26" s="215"/>
      <c r="J26" s="216"/>
      <c r="K26" s="184"/>
      <c r="L26" s="211"/>
      <c r="M26" s="212"/>
      <c r="N26" s="212"/>
      <c r="O26" s="217"/>
      <c r="P26" s="184"/>
      <c r="Q26" s="214"/>
      <c r="R26" s="215"/>
      <c r="S26" s="215"/>
      <c r="T26" s="218" t="str">
        <f t="shared" si="3"/>
        <v>-</v>
      </c>
      <c r="U26" s="184"/>
      <c r="V26" s="211"/>
      <c r="W26" s="212"/>
      <c r="X26" s="212"/>
      <c r="Y26" s="217"/>
      <c r="Z26" s="188"/>
      <c r="AA26" s="211"/>
      <c r="AB26" s="212"/>
      <c r="AC26" s="217"/>
      <c r="AD26" s="184"/>
      <c r="AE26" s="189"/>
    </row>
    <row r="27" spans="1:33" x14ac:dyDescent="0.3">
      <c r="A27" s="172" t="s">
        <v>74</v>
      </c>
      <c r="B27" s="182">
        <f>'ADB Inc. Statement'!B27+'ANT Inc Statement'!B27+'ACC Inc Statement'!B27+'PUC Inc. Statement'!B27+'AASPA Inc. Statement'!B27+'AFSC Inc. Statement'!B27+'PSPF Inc. Statement'!B27+'ATB Inc. Statement'!B27+'ASSB Inc. Statement'!B27+'HAA Inc. Statement'!B27+'WCA Inc. Statement'!B27</f>
        <v>0</v>
      </c>
      <c r="C27" s="182">
        <f>'ADB Inc. Statement'!C27+'ANT Inc Statement'!C27+'ACC Inc Statement'!C27+'PUC Inc. Statement'!C27+'AASPA Inc. Statement'!C27+'AFSC Inc. Statement'!C27+'PSPF Inc. Statement'!C27+'ATB Inc. Statement'!C27+'ASSB Inc. Statement'!C27+'HAA Inc. Statement'!C27+'WCA Inc. Statement'!C27</f>
        <v>0</v>
      </c>
      <c r="D27" s="219">
        <f>C27-B27</f>
        <v>0</v>
      </c>
      <c r="E27" s="220" t="str">
        <f>IF(ISERROR(D27/B27),"-",D27/B27)</f>
        <v>-</v>
      </c>
      <c r="F27" s="184"/>
      <c r="G27" s="182">
        <f>'ADB Inc. Statement'!G27+'ANT Inc Statement'!G27+'ACC Inc Statement'!G27+'PUC Inc. Statement'!G27+'AASPA Inc. Statement'!G27+'AFSC Inc. Statement'!G27+'PSPF Inc. Statement'!G27+'ATB Inc. Statement'!G27+'ASSB Inc. Statement'!G27+'HAA Inc. Statement'!G27+'WCA Inc. Statement'!G27</f>
        <v>0</v>
      </c>
      <c r="H27" s="182">
        <f>'ADB Inc. Statement'!H27+'ANT Inc Statement'!H27+'ACC Inc Statement'!H27+'PUC Inc. Statement'!H27+'AASPA Inc. Statement'!H27+'AFSC Inc. Statement'!H27+'PSPF Inc. Statement'!H27+'ATB Inc. Statement'!H27+'ASSB Inc. Statement'!H27+'HAA Inc. Statement'!H27+'WCA Inc. Statement'!H27</f>
        <v>0</v>
      </c>
      <c r="I27" s="219">
        <f>H27-G27</f>
        <v>0</v>
      </c>
      <c r="J27" s="221" t="str">
        <f>IF(ISERROR(I27/G27),"-",I27/G27)</f>
        <v>-</v>
      </c>
      <c r="K27" s="184"/>
      <c r="L27" s="182">
        <f>'ADB Inc. Statement'!L27+'ANT Inc Statement'!L27+'ACC Inc Statement'!L27+'PUC Inc. Statement'!L27+'AASPA Inc. Statement'!L27+'AFSC Inc. Statement'!L27+'PSPF Inc. Statement'!L27+'ATB Inc. Statement'!L27+'ASSB Inc. Statement'!L27+'HAA Inc. Statement'!L27+'WCA Inc. Statement'!L27</f>
        <v>0</v>
      </c>
      <c r="M27" s="182">
        <f>'ADB Inc. Statement'!M27+'ANT Inc Statement'!M27+'ACC Inc Statement'!M27+'PUC Inc. Statement'!M27+'AASPA Inc. Statement'!M27+'AFSC Inc. Statement'!M27+'PSPF Inc. Statement'!M27+'ATB Inc. Statement'!M27+'ASSB Inc. Statement'!M27+'HAA Inc. Statement'!M27+'WCA Inc. Statement'!M27</f>
        <v>0</v>
      </c>
      <c r="N27" s="219">
        <f>M27-L27</f>
        <v>0</v>
      </c>
      <c r="O27" s="222" t="str">
        <f>IF(ISERROR(N27/L27),"-",N27/L27)</f>
        <v>-</v>
      </c>
      <c r="P27" s="184"/>
      <c r="Q27" s="182">
        <f>'ADB Inc. Statement'!Q27+'ANT Inc Statement'!Q27+'ACC Inc Statement'!Q27+'PUC Inc. Statement'!Q27+'AASPA Inc. Statement'!Q27+'AFSC Inc. Statement'!Q27+'PSPF Inc. Statement'!Q27+'ATB Inc. Statement'!Q27+'ASSB Inc. Statement'!Q27+'HAA Inc. Statement'!Q27+'WCA Inc. Statement'!Q27</f>
        <v>0</v>
      </c>
      <c r="R27" s="182">
        <f>'ADB Inc. Statement'!R27+'ANT Inc Statement'!R27+'ACC Inc Statement'!R27+'PUC Inc. Statement'!R27+'AASPA Inc. Statement'!R27+'AFSC Inc. Statement'!R27+'PSPF Inc. Statement'!R27+'ATB Inc. Statement'!R27+'ASSB Inc. Statement'!R27+'HAA Inc. Statement'!R27+'WCA Inc. Statement'!R27</f>
        <v>0</v>
      </c>
      <c r="S27" s="219">
        <f>R27-Q27</f>
        <v>0</v>
      </c>
      <c r="T27" s="223" t="str">
        <f>IF(ISERROR(S27/Q27),"-",S27/Q27)</f>
        <v>-</v>
      </c>
      <c r="U27" s="184"/>
      <c r="V27" s="224">
        <f>B27+G27+L27+Q27</f>
        <v>0</v>
      </c>
      <c r="W27" s="219">
        <f>C27+H27+M27+R27</f>
        <v>0</v>
      </c>
      <c r="X27" s="219">
        <f>W27-V27</f>
        <v>0</v>
      </c>
      <c r="Y27" s="225"/>
      <c r="Z27" s="188"/>
      <c r="AA27" s="182">
        <f>'ADB Inc. Statement'!AA27+'ANT Inc Statement'!AA27+'ACC Inc Statement'!AA27+'PUC Inc. Statement'!AA27+'AASPA Inc. Statement'!AA27+'AFSC Inc. Statement'!AA27+'PSPF Inc. Statement'!AA27+'ATB Inc. Statement'!AA27+'ASSB Inc. Statement'!AA27+'HAA Inc. Statement'!AA27+'WCA Inc. Statement'!AA27</f>
        <v>0</v>
      </c>
      <c r="AB27" s="219"/>
      <c r="AC27" s="225"/>
      <c r="AD27" s="184"/>
      <c r="AE27" s="189"/>
    </row>
    <row r="28" spans="1:33" x14ac:dyDescent="0.3">
      <c r="A28" s="226"/>
      <c r="B28" s="227"/>
      <c r="C28" s="228"/>
      <c r="D28" s="228"/>
      <c r="E28" s="229"/>
      <c r="F28" s="175"/>
      <c r="G28" s="230"/>
      <c r="H28" s="231"/>
      <c r="I28" s="231"/>
      <c r="J28" s="232"/>
      <c r="K28" s="175"/>
      <c r="L28" s="227"/>
      <c r="M28" s="228"/>
      <c r="N28" s="228"/>
      <c r="O28" s="233"/>
      <c r="P28" s="175"/>
      <c r="Q28" s="230"/>
      <c r="R28" s="231"/>
      <c r="S28" s="231"/>
      <c r="T28" s="234" t="str">
        <f t="shared" si="3"/>
        <v>-</v>
      </c>
      <c r="U28" s="175"/>
      <c r="V28" s="227"/>
      <c r="W28" s="228"/>
      <c r="X28" s="228"/>
      <c r="Y28" s="233"/>
      <c r="Z28" s="179"/>
      <c r="AA28" s="227"/>
      <c r="AB28" s="228"/>
      <c r="AC28" s="233"/>
      <c r="AD28" s="175"/>
      <c r="AE28" s="189"/>
    </row>
    <row r="29" spans="1:33" x14ac:dyDescent="0.3">
      <c r="A29" s="199" t="s">
        <v>75</v>
      </c>
      <c r="B29" s="235">
        <f>B25+B27</f>
        <v>35071912.566927671</v>
      </c>
      <c r="C29" s="236">
        <f>C25+C27</f>
        <v>37317079.61875952</v>
      </c>
      <c r="D29" s="236">
        <f>D25+D27</f>
        <v>2245167.0518318443</v>
      </c>
      <c r="E29" s="237">
        <f>IF(ISERROR(D29/B29),"-",D29/B29)</f>
        <v>6.4016099707918578E-2</v>
      </c>
      <c r="F29" s="203"/>
      <c r="G29" s="235">
        <f>G25+G27</f>
        <v>35388217.674248263</v>
      </c>
      <c r="H29" s="236">
        <f>H25+H27</f>
        <v>39010095.419811569</v>
      </c>
      <c r="I29" s="236">
        <f>I25+I27</f>
        <v>3621877.7455633092</v>
      </c>
      <c r="J29" s="237">
        <f>IF(ISERROR(I29/G29),"-",I29/G29)</f>
        <v>0.10234699523166214</v>
      </c>
      <c r="K29" s="203"/>
      <c r="L29" s="235">
        <f>L25+L27</f>
        <v>34984024.507799998</v>
      </c>
      <c r="M29" s="236">
        <f>M25+M27</f>
        <v>31050128.4278</v>
      </c>
      <c r="N29" s="236">
        <f>N25+N27</f>
        <v>-3933896.0799999982</v>
      </c>
      <c r="O29" s="238">
        <f>IF(ISERROR(N29/L29),"-",N29/L29)</f>
        <v>-0.11244835708147018</v>
      </c>
      <c r="P29" s="203"/>
      <c r="Q29" s="235">
        <f>Q25+Q27</f>
        <v>35206292.348507762</v>
      </c>
      <c r="R29" s="236">
        <f>R25+R27</f>
        <v>46931346.588232532</v>
      </c>
      <c r="S29" s="236">
        <f>S25+S27</f>
        <v>11725054.23972478</v>
      </c>
      <c r="T29" s="238">
        <f t="shared" si="3"/>
        <v>0.33303859786365014</v>
      </c>
      <c r="U29" s="203"/>
      <c r="V29" s="235">
        <f>V25+V27</f>
        <v>140650447.09748369</v>
      </c>
      <c r="W29" s="236">
        <f>W25+W27</f>
        <v>154308650.05460361</v>
      </c>
      <c r="X29" s="236">
        <f>X25+X27</f>
        <v>13658202.957119927</v>
      </c>
      <c r="Y29" s="238">
        <f>IF(ISERROR(X29/V29),"-",X29/V29)</f>
        <v>9.7107426524236609E-2</v>
      </c>
      <c r="Z29" s="179"/>
      <c r="AA29" s="239">
        <f>AA25+AA27</f>
        <v>159597590.10560399</v>
      </c>
      <c r="AB29" s="240">
        <f>AA29-W29</f>
        <v>5288940.0510003865</v>
      </c>
      <c r="AC29" s="241">
        <f>IF(ISERROR(AB29/AA29),"-",AB29/AA29)</f>
        <v>3.3139222512700552E-2</v>
      </c>
      <c r="AD29" s="203"/>
      <c r="AE29" s="209"/>
    </row>
    <row r="30" spans="1:33" x14ac:dyDescent="0.3">
      <c r="A30" s="242"/>
      <c r="B30" s="243"/>
      <c r="C30" s="244"/>
      <c r="D30" s="244"/>
      <c r="E30" s="245"/>
      <c r="F30" s="175"/>
      <c r="G30" s="246"/>
      <c r="H30" s="247"/>
      <c r="I30" s="247"/>
      <c r="J30" s="248"/>
      <c r="K30" s="175"/>
      <c r="L30" s="243"/>
      <c r="M30" s="244"/>
      <c r="N30" s="244"/>
      <c r="O30" s="249"/>
      <c r="P30" s="175"/>
      <c r="Q30" s="246"/>
      <c r="R30" s="247"/>
      <c r="S30" s="247"/>
      <c r="T30" s="250"/>
      <c r="U30" s="175"/>
      <c r="V30" s="211"/>
      <c r="W30" s="212"/>
      <c r="X30" s="244"/>
      <c r="Y30" s="249"/>
      <c r="Z30" s="179"/>
      <c r="AA30" s="211"/>
      <c r="AB30" s="244"/>
      <c r="AC30" s="249"/>
      <c r="AD30" s="175"/>
      <c r="AE30" s="189"/>
    </row>
    <row r="31" spans="1:33" x14ac:dyDescent="0.3">
      <c r="A31" s="172" t="s">
        <v>76</v>
      </c>
      <c r="B31" s="224"/>
      <c r="C31" s="219"/>
      <c r="D31" s="219"/>
      <c r="E31" s="251"/>
      <c r="F31" s="184"/>
      <c r="G31" s="252"/>
      <c r="H31" s="253"/>
      <c r="I31" s="253"/>
      <c r="J31" s="254"/>
      <c r="K31" s="184"/>
      <c r="L31" s="224"/>
      <c r="M31" s="219"/>
      <c r="N31" s="219"/>
      <c r="O31" s="225"/>
      <c r="P31" s="184"/>
      <c r="Q31" s="252"/>
      <c r="R31" s="253"/>
      <c r="S31" s="253"/>
      <c r="T31" s="255"/>
      <c r="U31" s="184"/>
      <c r="V31" s="224"/>
      <c r="W31" s="219"/>
      <c r="X31" s="219"/>
      <c r="Y31" s="225"/>
      <c r="Z31" s="188"/>
      <c r="AA31" s="224"/>
      <c r="AB31" s="219"/>
      <c r="AC31" s="225"/>
      <c r="AD31" s="184"/>
      <c r="AE31" s="189"/>
    </row>
    <row r="32" spans="1:33" x14ac:dyDescent="0.3">
      <c r="A32" s="172" t="s">
        <v>77</v>
      </c>
      <c r="B32" s="224"/>
      <c r="C32" s="219"/>
      <c r="D32" s="219"/>
      <c r="E32" s="251"/>
      <c r="F32" s="184"/>
      <c r="G32" s="252"/>
      <c r="H32" s="253"/>
      <c r="I32" s="253"/>
      <c r="J32" s="254"/>
      <c r="K32" s="184"/>
      <c r="L32" s="224"/>
      <c r="M32" s="219"/>
      <c r="N32" s="219"/>
      <c r="O32" s="225"/>
      <c r="P32" s="184"/>
      <c r="Q32" s="252"/>
      <c r="R32" s="253"/>
      <c r="S32" s="253"/>
      <c r="T32" s="255"/>
      <c r="U32" s="184"/>
      <c r="V32" s="224"/>
      <c r="W32" s="219"/>
      <c r="X32" s="219"/>
      <c r="Y32" s="225"/>
      <c r="Z32" s="188"/>
      <c r="AA32" s="224"/>
      <c r="AB32" s="219"/>
      <c r="AC32" s="225"/>
      <c r="AD32" s="184"/>
      <c r="AE32" s="189"/>
    </row>
    <row r="33" spans="1:31" x14ac:dyDescent="0.3">
      <c r="A33" s="190" t="s">
        <v>78</v>
      </c>
      <c r="B33" s="182">
        <f>'ADB Inc. Statement'!B33+'ANT Inc Statement'!B33+'ACC Inc Statement'!B33+'PUC Inc. Statement'!B33+'AASPA Inc. Statement'!B33+'AFSC Inc. Statement'!B33+'PSPF Inc. Statement'!B33+'ATB Inc. Statement'!B33+'ASSB Inc. Statement'!B33+'HAA Inc. Statement'!B33+'WCA Inc. Statement'!B33</f>
        <v>10312521.400225</v>
      </c>
      <c r="C33" s="182">
        <f>'ADB Inc. Statement'!C33+'ANT Inc Statement'!C33+'ACC Inc Statement'!C33+'PUC Inc. Statement'!C33+'AASPA Inc. Statement'!C33+'AFSC Inc. Statement'!C33+'PSPF Inc. Statement'!C33+'ATB Inc. Statement'!C33+'ASSB Inc. Statement'!C33+'HAA Inc. Statement'!C33+'WCA Inc. Statement'!C33</f>
        <v>9144625.7025259696</v>
      </c>
      <c r="D33" s="219">
        <f>C33-B33</f>
        <v>-1167895.6976990309</v>
      </c>
      <c r="E33" s="220">
        <f t="shared" ref="E33:E41" si="15">IF(ISERROR(D33/B33),"-",D33/B33)</f>
        <v>-0.11325025688417475</v>
      </c>
      <c r="F33" s="191"/>
      <c r="G33" s="182">
        <f>'ADB Inc. Statement'!G33+'ANT Inc Statement'!G33+'ACC Inc Statement'!G33+'PUC Inc. Statement'!G33+'AASPA Inc. Statement'!G33+'AFSC Inc. Statement'!G33+'PSPF Inc. Statement'!G33+'ATB Inc. Statement'!G33+'ASSB Inc. Statement'!G33+'HAA Inc. Statement'!G33+'WCA Inc. Statement'!G33</f>
        <v>10312521.400225</v>
      </c>
      <c r="H33" s="182">
        <f>'ADB Inc. Statement'!H33+'ANT Inc Statement'!H33+'ACC Inc Statement'!H33+'PUC Inc. Statement'!H33+'AASPA Inc. Statement'!H33+'AFSC Inc. Statement'!H33+'PSPF Inc. Statement'!H33+'ATB Inc. Statement'!H33+'ASSB Inc. Statement'!H33+'HAA Inc. Statement'!H33+'WCA Inc. Statement'!H33</f>
        <v>9255792.4373640921</v>
      </c>
      <c r="I33" s="219">
        <f>H33-G33</f>
        <v>-1056728.9628609084</v>
      </c>
      <c r="J33" s="221">
        <f t="shared" ref="J33:J41" si="16">IF(ISERROR(I33/G33),"-",I33/G33)</f>
        <v>-0.10247047466372797</v>
      </c>
      <c r="K33" s="191"/>
      <c r="L33" s="182">
        <f>'ADB Inc. Statement'!L33+'ANT Inc Statement'!L33+'ACC Inc Statement'!L33+'PUC Inc. Statement'!L33+'AASPA Inc. Statement'!L33+'AFSC Inc. Statement'!L33+'PSPF Inc. Statement'!L33+'ATB Inc. Statement'!L33+'ASSB Inc. Statement'!L33+'HAA Inc. Statement'!L33+'WCA Inc. Statement'!L33</f>
        <v>10312521.12793</v>
      </c>
      <c r="M33" s="182">
        <f>'ADB Inc. Statement'!M33+'ANT Inc Statement'!M33+'ACC Inc Statement'!M33+'PUC Inc. Statement'!M33+'AASPA Inc. Statement'!M33+'AFSC Inc. Statement'!M33+'PSPF Inc. Statement'!M33+'ATB Inc. Statement'!M33+'ASSB Inc. Statement'!M33+'HAA Inc. Statement'!M33+'WCA Inc. Statement'!M33</f>
        <v>9401768.5036007985</v>
      </c>
      <c r="N33" s="219">
        <f>M33-L33</f>
        <v>-910752.62432920188</v>
      </c>
      <c r="O33" s="222">
        <f t="shared" ref="O33:O41" si="17">IF(ISERROR(N33/L33),"-",N33/L33)</f>
        <v>-8.8315225058066313E-2</v>
      </c>
      <c r="P33" s="191"/>
      <c r="Q33" s="182">
        <f>'ADB Inc. Statement'!Q33+'ANT Inc Statement'!Q33+'ACC Inc Statement'!Q33+'PUC Inc. Statement'!Q33+'AASPA Inc. Statement'!Q33+'AFSC Inc. Statement'!Q33+'PSPF Inc. Statement'!Q33+'ATB Inc. Statement'!Q33+'ASSB Inc. Statement'!Q33+'HAA Inc. Statement'!Q33+'WCA Inc. Statement'!Q33</f>
        <v>10365379.08645525</v>
      </c>
      <c r="R33" s="182">
        <f>'ADB Inc. Statement'!R33+'ANT Inc Statement'!R33+'ACC Inc Statement'!R33+'PUC Inc. Statement'!R33+'AASPA Inc. Statement'!R33+'AFSC Inc. Statement'!R33+'PSPF Inc. Statement'!R33+'ATB Inc. Statement'!R33+'ASSB Inc. Statement'!R33+'HAA Inc. Statement'!R33+'WCA Inc. Statement'!R33</f>
        <v>11504578.664640002</v>
      </c>
      <c r="S33" s="219">
        <f>R33-Q33</f>
        <v>1139199.5781847518</v>
      </c>
      <c r="T33" s="223">
        <f t="shared" ref="T33:T41" si="18">IF(ISERROR(S33/Q33),"-",S33/Q33)</f>
        <v>0.10990428509010132</v>
      </c>
      <c r="U33" s="191"/>
      <c r="V33" s="224">
        <f>B33+G33+L33+Q33</f>
        <v>41302943.014835253</v>
      </c>
      <c r="W33" s="219">
        <f t="shared" ref="V33:W40" si="19">C33+H33+M33+R33</f>
        <v>39306765.30813086</v>
      </c>
      <c r="X33" s="219">
        <f>W33-V33</f>
        <v>-1996177.706704393</v>
      </c>
      <c r="Y33" s="222">
        <f t="shared" ref="Y33:Y41" si="20">IF(ISERROR(X33/V33),"-",X33/V33)</f>
        <v>-4.8330156666739288E-2</v>
      </c>
      <c r="Z33" s="188"/>
      <c r="AA33" s="182">
        <f>'ADB Inc. Statement'!AA33+'ANT Inc Statement'!AA33+'ACC Inc Statement'!AA33+'PUC Inc. Statement'!AA33+'AASPA Inc. Statement'!AA33+'AFSC Inc. Statement'!AA33+'PSPF Inc. Statement'!AA33+'ATB Inc. Statement'!AA33+'ASSB Inc. Statement'!AA33+'HAA Inc. Statement'!AA33+'WCA Inc. Statement'!AA33</f>
        <v>42516926.111719996</v>
      </c>
      <c r="AB33" s="219">
        <f>AA33-W33</f>
        <v>3210160.8035891354</v>
      </c>
      <c r="AC33" s="222">
        <f t="shared" ref="AC33:AC41" si="21">IF(ISERROR(AB33/AA33),"-",AB33/AA33)</f>
        <v>7.5503125394200107E-2</v>
      </c>
      <c r="AD33" s="191"/>
      <c r="AE33" s="193"/>
    </row>
    <row r="34" spans="1:31" x14ac:dyDescent="0.3">
      <c r="A34" s="190" t="s">
        <v>79</v>
      </c>
      <c r="B34" s="182">
        <f>'ADB Inc. Statement'!B34+'ANT Inc Statement'!B34+'ACC Inc Statement'!B34+'PUC Inc. Statement'!B34+'AASPA Inc. Statement'!B34+'AFSC Inc. Statement'!B34+'PSPF Inc. Statement'!B34+'ATB Inc. Statement'!B34+'ASSB Inc. Statement'!B34+'HAA Inc. Statement'!B34+'WCA Inc. Statement'!B34</f>
        <v>120772</v>
      </c>
      <c r="C34" s="182">
        <f>'ADB Inc. Statement'!C34+'ANT Inc Statement'!C34+'ACC Inc Statement'!C34+'PUC Inc. Statement'!C34+'AASPA Inc. Statement'!C34+'AFSC Inc. Statement'!C34+'PSPF Inc. Statement'!C34+'ATB Inc. Statement'!C34+'ASSB Inc. Statement'!C34+'HAA Inc. Statement'!C34+'WCA Inc. Statement'!C34</f>
        <v>11305.54</v>
      </c>
      <c r="D34" s="219">
        <f t="shared" ref="D34:D40" si="22">C34-B34</f>
        <v>-109466.45999999999</v>
      </c>
      <c r="E34" s="220">
        <f t="shared" si="15"/>
        <v>-0.90638939489285586</v>
      </c>
      <c r="F34" s="191"/>
      <c r="G34" s="182">
        <f>'ADB Inc. Statement'!G34+'ANT Inc Statement'!G34+'ACC Inc Statement'!G34+'PUC Inc. Statement'!G34+'AASPA Inc. Statement'!G34+'AFSC Inc. Statement'!G34+'PSPF Inc. Statement'!G34+'ATB Inc. Statement'!G34+'ASSB Inc. Statement'!G34+'HAA Inc. Statement'!G34+'WCA Inc. Statement'!G34</f>
        <v>67783</v>
      </c>
      <c r="H34" s="182">
        <f>'ADB Inc. Statement'!H34+'ANT Inc Statement'!H34+'ACC Inc Statement'!H34+'PUC Inc. Statement'!H34+'AASPA Inc. Statement'!H34+'AFSC Inc. Statement'!H34+'PSPF Inc. Statement'!H34+'ATB Inc. Statement'!H34+'ASSB Inc. Statement'!H34+'HAA Inc. Statement'!H34+'WCA Inc. Statement'!H34</f>
        <v>112095.1</v>
      </c>
      <c r="I34" s="219">
        <f t="shared" ref="I34:I40" si="23">H34-G34</f>
        <v>44312.100000000006</v>
      </c>
      <c r="J34" s="221">
        <f t="shared" si="16"/>
        <v>0.65373471224348301</v>
      </c>
      <c r="K34" s="191"/>
      <c r="L34" s="182">
        <f>'ADB Inc. Statement'!L34+'ANT Inc Statement'!L34+'ACC Inc Statement'!L34+'PUC Inc. Statement'!L34+'AASPA Inc. Statement'!L34+'AFSC Inc. Statement'!L34+'PSPF Inc. Statement'!L34+'ATB Inc. Statement'!L34+'ASSB Inc. Statement'!L34+'HAA Inc. Statement'!L34+'WCA Inc. Statement'!L34</f>
        <v>67783</v>
      </c>
      <c r="M34" s="182">
        <f>'ADB Inc. Statement'!M34+'ANT Inc Statement'!M34+'ACC Inc Statement'!M34+'PUC Inc. Statement'!M34+'AASPA Inc. Statement'!M34+'AFSC Inc. Statement'!M34+'PSPF Inc. Statement'!M34+'ATB Inc. Statement'!M34+'ASSB Inc. Statement'!M34+'HAA Inc. Statement'!M34+'WCA Inc. Statement'!M34</f>
        <v>33513.909999999996</v>
      </c>
      <c r="N34" s="219">
        <f t="shared" ref="N34:N40" si="24">M34-L34</f>
        <v>-34269.090000000004</v>
      </c>
      <c r="O34" s="222">
        <f t="shared" si="17"/>
        <v>-0.50557057079208656</v>
      </c>
      <c r="P34" s="191"/>
      <c r="Q34" s="182">
        <f>'ADB Inc. Statement'!Q34+'ANT Inc Statement'!Q34+'ACC Inc Statement'!Q34+'PUC Inc. Statement'!Q34+'AASPA Inc. Statement'!Q34+'AFSC Inc. Statement'!Q34+'PSPF Inc. Statement'!Q34+'ATB Inc. Statement'!Q34+'ASSB Inc. Statement'!Q34+'HAA Inc. Statement'!Q34+'WCA Inc. Statement'!Q34</f>
        <v>67783.11</v>
      </c>
      <c r="R34" s="182">
        <f>'ADB Inc. Statement'!R34+'ANT Inc Statement'!R34+'ACC Inc Statement'!R34+'PUC Inc. Statement'!R34+'AASPA Inc. Statement'!R34+'AFSC Inc. Statement'!R34+'PSPF Inc. Statement'!R34+'ATB Inc. Statement'!R34+'ASSB Inc. Statement'!R34+'HAA Inc. Statement'!R34+'WCA Inc. Statement'!R34</f>
        <v>75396.36</v>
      </c>
      <c r="S34" s="219">
        <f t="shared" ref="S34:S40" si="25">R34-Q34</f>
        <v>7613.25</v>
      </c>
      <c r="T34" s="223">
        <f t="shared" si="18"/>
        <v>0.11231780306332949</v>
      </c>
      <c r="U34" s="191"/>
      <c r="V34" s="224">
        <f t="shared" si="19"/>
        <v>324121.11</v>
      </c>
      <c r="W34" s="219">
        <f t="shared" si="19"/>
        <v>232310.91000000003</v>
      </c>
      <c r="X34" s="219">
        <f t="shared" ref="X34:X40" si="26">W34-V34</f>
        <v>-91810.199999999953</v>
      </c>
      <c r="Y34" s="222">
        <f t="shared" si="20"/>
        <v>-0.28325893367451432</v>
      </c>
      <c r="Z34" s="188"/>
      <c r="AA34" s="182">
        <f>'ADB Inc. Statement'!AA34+'ANT Inc Statement'!AA34+'ACC Inc Statement'!AA34+'PUC Inc. Statement'!AA34+'AASPA Inc. Statement'!AA34+'AFSC Inc. Statement'!AA34+'PSPF Inc. Statement'!AA34+'ATB Inc. Statement'!AA34+'ASSB Inc. Statement'!AA34+'HAA Inc. Statement'!AA34+'WCA Inc. Statement'!AA34</f>
        <v>284298</v>
      </c>
      <c r="AB34" s="219">
        <f t="shared" ref="AB34:AB40" si="27">AA34-W34</f>
        <v>51987.089999999967</v>
      </c>
      <c r="AC34" s="222">
        <f t="shared" si="21"/>
        <v>0.18286125825718072</v>
      </c>
      <c r="AD34" s="191"/>
      <c r="AE34" s="193"/>
    </row>
    <row r="35" spans="1:31" x14ac:dyDescent="0.3">
      <c r="A35" s="190" t="s">
        <v>81</v>
      </c>
      <c r="B35" s="182">
        <f>'ADB Inc. Statement'!B35+'ANT Inc Statement'!B35+'ACC Inc Statement'!B35+'PUC Inc. Statement'!B35+'AASPA Inc. Statement'!B35+'AFSC Inc. Statement'!B35+'PSPF Inc. Statement'!B35+'ATB Inc. Statement'!B35+'ASSB Inc. Statement'!B35+'HAA Inc. Statement'!B35+'WCA Inc. Statement'!B35</f>
        <v>698695.34825199994</v>
      </c>
      <c r="C35" s="182">
        <f>'ADB Inc. Statement'!C35+'ANT Inc Statement'!C35+'ACC Inc Statement'!C35+'PUC Inc. Statement'!C35+'AASPA Inc. Statement'!C35+'AFSC Inc. Statement'!C35+'PSPF Inc. Statement'!C35+'ATB Inc. Statement'!C35+'ASSB Inc. Statement'!C35+'HAA Inc. Statement'!C35+'WCA Inc. Statement'!C35</f>
        <v>446393.47619740001</v>
      </c>
      <c r="D35" s="219">
        <f t="shared" si="22"/>
        <v>-252301.87205459992</v>
      </c>
      <c r="E35" s="220">
        <f t="shared" si="15"/>
        <v>-0.36110426766946452</v>
      </c>
      <c r="F35" s="191"/>
      <c r="G35" s="182">
        <f>'ADB Inc. Statement'!G35+'ANT Inc Statement'!G35+'ACC Inc Statement'!G35+'PUC Inc. Statement'!G35+'AASPA Inc. Statement'!G35+'AFSC Inc. Statement'!G35+'PSPF Inc. Statement'!G35+'ATB Inc. Statement'!G35+'ASSB Inc. Statement'!G35+'HAA Inc. Statement'!G35+'WCA Inc. Statement'!G35</f>
        <v>809916.34825200005</v>
      </c>
      <c r="H35" s="182">
        <f>'ADB Inc. Statement'!H35+'ANT Inc Statement'!H35+'ACC Inc Statement'!H35+'PUC Inc. Statement'!H35+'AASPA Inc. Statement'!H35+'AFSC Inc. Statement'!H35+'PSPF Inc. Statement'!H35+'ATB Inc. Statement'!H35+'ASSB Inc. Statement'!H35+'HAA Inc. Statement'!H35+'WCA Inc. Statement'!H35</f>
        <v>596452.33490548003</v>
      </c>
      <c r="I35" s="219">
        <f t="shared" si="23"/>
        <v>-213464.01334652002</v>
      </c>
      <c r="J35" s="221">
        <f t="shared" si="16"/>
        <v>-0.26356303809304282</v>
      </c>
      <c r="K35" s="191"/>
      <c r="L35" s="182">
        <f>'ADB Inc. Statement'!L35+'ANT Inc Statement'!L35+'ACC Inc Statement'!L35+'PUC Inc. Statement'!L35+'AASPA Inc. Statement'!L35+'AFSC Inc. Statement'!L35+'PSPF Inc. Statement'!L35+'ATB Inc. Statement'!L35+'ASSB Inc. Statement'!L35+'HAA Inc. Statement'!L35+'WCA Inc. Statement'!L35</f>
        <v>770925.62593400001</v>
      </c>
      <c r="M35" s="182">
        <f>'ADB Inc. Statement'!M35+'ANT Inc Statement'!M35+'ACC Inc Statement'!M35+'PUC Inc. Statement'!M35+'AASPA Inc. Statement'!M35+'AFSC Inc. Statement'!M35+'PSPF Inc. Statement'!M35+'ATB Inc. Statement'!M35+'ASSB Inc. Statement'!M35+'HAA Inc. Statement'!M35+'WCA Inc. Statement'!M35</f>
        <v>474941.47612345003</v>
      </c>
      <c r="N35" s="219">
        <f t="shared" si="24"/>
        <v>-295984.14981054998</v>
      </c>
      <c r="O35" s="222">
        <f t="shared" si="17"/>
        <v>-0.38393346887639923</v>
      </c>
      <c r="P35" s="191"/>
      <c r="Q35" s="182">
        <f>'ADB Inc. Statement'!Q35+'ANT Inc Statement'!Q35+'ACC Inc Statement'!Q35+'PUC Inc. Statement'!Q35+'AASPA Inc. Statement'!Q35+'AFSC Inc. Statement'!Q35+'PSPF Inc. Statement'!Q35+'ATB Inc. Statement'!Q35+'ASSB Inc. Statement'!Q35+'HAA Inc. Statement'!Q35+'WCA Inc. Statement'!Q35</f>
        <v>770934.28793400002</v>
      </c>
      <c r="R35" s="182">
        <f>'ADB Inc. Statement'!R35+'ANT Inc Statement'!R35+'ACC Inc Statement'!R35+'PUC Inc. Statement'!R35+'AASPA Inc. Statement'!R35+'AFSC Inc. Statement'!R35+'PSPF Inc. Statement'!R35+'ATB Inc. Statement'!R35+'ASSB Inc. Statement'!R35+'HAA Inc. Statement'!R35+'WCA Inc. Statement'!R35</f>
        <v>450549.51563944994</v>
      </c>
      <c r="S35" s="219">
        <f t="shared" si="25"/>
        <v>-320384.77229455009</v>
      </c>
      <c r="T35" s="223">
        <f t="shared" si="18"/>
        <v>-0.41557987147405012</v>
      </c>
      <c r="U35" s="191"/>
      <c r="V35" s="224">
        <f t="shared" si="19"/>
        <v>3050471.6103720004</v>
      </c>
      <c r="W35" s="219">
        <f t="shared" si="19"/>
        <v>1968336.80286578</v>
      </c>
      <c r="X35" s="219">
        <f t="shared" si="26"/>
        <v>-1082134.8075062204</v>
      </c>
      <c r="Y35" s="222">
        <f t="shared" si="20"/>
        <v>-0.35474344485843479</v>
      </c>
      <c r="Z35" s="188"/>
      <c r="AA35" s="182">
        <f>'ADB Inc. Statement'!AA35+'ANT Inc Statement'!AA35+'ACC Inc Statement'!AA35+'PUC Inc. Statement'!AA35+'AASPA Inc. Statement'!AA35+'AFSC Inc. Statement'!AA35+'PSPF Inc. Statement'!AA35+'ATB Inc. Statement'!AA35+'ASSB Inc. Statement'!AA35+'HAA Inc. Statement'!AA35+'WCA Inc. Statement'!AA35</f>
        <v>2901836.3191800001</v>
      </c>
      <c r="AB35" s="219">
        <f t="shared" si="27"/>
        <v>933499.51631422015</v>
      </c>
      <c r="AC35" s="222">
        <f t="shared" si="21"/>
        <v>0.32169268478175506</v>
      </c>
      <c r="AD35" s="191"/>
      <c r="AE35" s="193"/>
    </row>
    <row r="36" spans="1:31" x14ac:dyDescent="0.3">
      <c r="A36" s="190" t="s">
        <v>106</v>
      </c>
      <c r="B36" s="182">
        <f>'ADB Inc. Statement'!B36+'ANT Inc Statement'!B36+'ACC Inc Statement'!B36+'PUC Inc. Statement'!B36+'AASPA Inc. Statement'!B36+'AFSC Inc. Statement'!B36+'PSPF Inc. Statement'!B36+'ATB Inc. Statement'!B36+'ASSB Inc. Statement'!B36+'HAA Inc. Statement'!B36+'WCA Inc. Statement'!B36</f>
        <v>426328.95034999994</v>
      </c>
      <c r="C36" s="182">
        <f>'ADB Inc. Statement'!C36+'ANT Inc Statement'!C36+'ACC Inc Statement'!C36+'PUC Inc. Statement'!C36+'AASPA Inc. Statement'!C36+'AFSC Inc. Statement'!C36+'PSPF Inc. Statement'!C36+'ATB Inc. Statement'!C36+'ASSB Inc. Statement'!C36+'HAA Inc. Statement'!C36+'WCA Inc. Statement'!C36</f>
        <v>375692.27348804008</v>
      </c>
      <c r="D36" s="219">
        <f t="shared" si="22"/>
        <v>-50636.676861959859</v>
      </c>
      <c r="E36" s="220">
        <f t="shared" si="15"/>
        <v>-0.11877372348368334</v>
      </c>
      <c r="F36" s="256"/>
      <c r="G36" s="182">
        <f>'ADB Inc. Statement'!G36+'ANT Inc Statement'!G36+'ACC Inc Statement'!G36+'PUC Inc. Statement'!G36+'AASPA Inc. Statement'!G36+'AFSC Inc. Statement'!G36+'PSPF Inc. Statement'!G36+'ATB Inc. Statement'!G36+'ASSB Inc. Statement'!G36+'HAA Inc. Statement'!G36+'WCA Inc. Statement'!G36</f>
        <v>434179.95034999994</v>
      </c>
      <c r="H36" s="182">
        <f>'ADB Inc. Statement'!H36+'ANT Inc Statement'!H36+'ACC Inc Statement'!H36+'PUC Inc. Statement'!H36+'AASPA Inc. Statement'!H36+'AFSC Inc. Statement'!H36+'PSPF Inc. Statement'!H36+'ATB Inc. Statement'!H36+'ASSB Inc. Statement'!H36+'HAA Inc. Statement'!H36+'WCA Inc. Statement'!H36</f>
        <v>370081.83052016998</v>
      </c>
      <c r="I36" s="219">
        <f t="shared" si="23"/>
        <v>-64098.119829829957</v>
      </c>
      <c r="J36" s="221">
        <f t="shared" si="16"/>
        <v>-0.14763030807424285</v>
      </c>
      <c r="K36" s="256"/>
      <c r="L36" s="182">
        <f>'ADB Inc. Statement'!L36+'ANT Inc Statement'!L36+'ACC Inc Statement'!L36+'PUC Inc. Statement'!L36+'AASPA Inc. Statement'!L36+'AFSC Inc. Statement'!L36+'PSPF Inc. Statement'!L36+'ATB Inc. Statement'!L36+'ASSB Inc. Statement'!L36+'HAA Inc. Statement'!L36+'WCA Inc. Statement'!L36</f>
        <v>434180.18834999995</v>
      </c>
      <c r="M36" s="182">
        <f>'ADB Inc. Statement'!M36+'ANT Inc Statement'!M36+'ACC Inc Statement'!M36+'PUC Inc. Statement'!M36+'AASPA Inc. Statement'!M36+'AFSC Inc. Statement'!M36+'PSPF Inc. Statement'!M36+'ATB Inc. Statement'!M36+'ASSB Inc. Statement'!M36+'HAA Inc. Statement'!M36+'WCA Inc. Statement'!M36</f>
        <v>380883.24441410007</v>
      </c>
      <c r="N36" s="219">
        <f t="shared" si="24"/>
        <v>-53296.943935899879</v>
      </c>
      <c r="O36" s="222">
        <f t="shared" si="17"/>
        <v>-0.12275305360763332</v>
      </c>
      <c r="P36" s="256"/>
      <c r="Q36" s="182">
        <f>'ADB Inc. Statement'!Q36+'ANT Inc Statement'!Q36+'ACC Inc Statement'!Q36+'PUC Inc. Statement'!Q36+'AASPA Inc. Statement'!Q36+'AFSC Inc. Statement'!Q36+'PSPF Inc. Statement'!Q36+'ATB Inc. Statement'!Q36+'ASSB Inc. Statement'!Q36+'HAA Inc. Statement'!Q36+'WCA Inc. Statement'!Q36</f>
        <v>434177.97035000002</v>
      </c>
      <c r="R36" s="182">
        <f>'ADB Inc. Statement'!R36+'ANT Inc Statement'!R36+'ACC Inc Statement'!R36+'PUC Inc. Statement'!R36+'AASPA Inc. Statement'!R36+'AFSC Inc. Statement'!R36+'PSPF Inc. Statement'!R36+'ATB Inc. Statement'!R36+'ASSB Inc. Statement'!R36+'HAA Inc. Statement'!R36+'WCA Inc. Statement'!R36</f>
        <v>381720.69822609995</v>
      </c>
      <c r="S36" s="219">
        <f t="shared" si="25"/>
        <v>-52457.272123900068</v>
      </c>
      <c r="T36" s="223">
        <f t="shared" si="18"/>
        <v>-0.12081974606314815</v>
      </c>
      <c r="U36" s="256"/>
      <c r="V36" s="224">
        <f t="shared" si="19"/>
        <v>1728867.0593999999</v>
      </c>
      <c r="W36" s="219">
        <f t="shared" si="19"/>
        <v>1508378.0466484101</v>
      </c>
      <c r="X36" s="219">
        <f t="shared" si="26"/>
        <v>-220489.01275158976</v>
      </c>
      <c r="Y36" s="222">
        <f t="shared" si="20"/>
        <v>-0.12753381560066859</v>
      </c>
      <c r="Z36" s="257"/>
      <c r="AA36" s="182">
        <f>'ADB Inc. Statement'!AA36+'ANT Inc Statement'!AA36+'ACC Inc Statement'!AA36+'PUC Inc. Statement'!AA36+'AASPA Inc. Statement'!AA36+'AFSC Inc. Statement'!AA36+'PSPF Inc. Statement'!AA36+'ATB Inc. Statement'!AA36+'ASSB Inc. Statement'!AA36+'HAA Inc. Statement'!AA36+'WCA Inc. Statement'!AA36</f>
        <v>1799613.0734000001</v>
      </c>
      <c r="AB36" s="219">
        <f t="shared" si="27"/>
        <v>291235.02675158996</v>
      </c>
      <c r="AC36" s="222">
        <f t="shared" si="21"/>
        <v>0.16183202437030592</v>
      </c>
      <c r="AD36" s="256"/>
      <c r="AE36" s="189"/>
    </row>
    <row r="37" spans="1:31" x14ac:dyDescent="0.3">
      <c r="A37" s="190" t="s">
        <v>80</v>
      </c>
      <c r="B37" s="182">
        <f>'ADB Inc. Statement'!B37+'ANT Inc Statement'!B37+'ACC Inc Statement'!B37+'PUC Inc. Statement'!B37+'AASPA Inc. Statement'!B37+'AFSC Inc. Statement'!B37+'PSPF Inc. Statement'!B37+'ATB Inc. Statement'!B37+'ASSB Inc. Statement'!B37+'HAA Inc. Statement'!B37+'WCA Inc. Statement'!B37</f>
        <v>618441.26199999999</v>
      </c>
      <c r="C37" s="182">
        <f>'ADB Inc. Statement'!C37+'ANT Inc Statement'!C37+'ACC Inc Statement'!C37+'PUC Inc. Statement'!C37+'AASPA Inc. Statement'!C37+'AFSC Inc. Statement'!C37+'PSPF Inc. Statement'!C37+'ATB Inc. Statement'!C37+'ASSB Inc. Statement'!C37+'HAA Inc. Statement'!C37+'WCA Inc. Statement'!C37</f>
        <v>476922.70623319998</v>
      </c>
      <c r="D37" s="219">
        <f t="shared" si="22"/>
        <v>-141518.55576680001</v>
      </c>
      <c r="E37" s="220">
        <f t="shared" si="15"/>
        <v>-0.22883103774340338</v>
      </c>
      <c r="F37" s="256"/>
      <c r="G37" s="182">
        <f>'ADB Inc. Statement'!G37+'ANT Inc Statement'!G37+'ACC Inc Statement'!G37+'PUC Inc. Statement'!G37+'AASPA Inc. Statement'!G37+'AFSC Inc. Statement'!G37+'PSPF Inc. Statement'!G37+'ATB Inc. Statement'!G37+'ASSB Inc. Statement'!G37+'HAA Inc. Statement'!G37+'WCA Inc. Statement'!G37</f>
        <v>438191.26199999999</v>
      </c>
      <c r="H37" s="182">
        <f>'ADB Inc. Statement'!H37+'ANT Inc Statement'!H37+'ACC Inc Statement'!H37+'PUC Inc. Statement'!H37+'AASPA Inc. Statement'!H37+'AFSC Inc. Statement'!H37+'PSPF Inc. Statement'!H37+'ATB Inc. Statement'!H37+'ASSB Inc. Statement'!H37+'HAA Inc. Statement'!H37+'WCA Inc. Statement'!H37</f>
        <v>416233.2162059301</v>
      </c>
      <c r="I37" s="219">
        <f t="shared" si="23"/>
        <v>-21958.045794069883</v>
      </c>
      <c r="J37" s="221">
        <f t="shared" si="16"/>
        <v>-5.0110642767837492E-2</v>
      </c>
      <c r="K37" s="256"/>
      <c r="L37" s="182">
        <f>'ADB Inc. Statement'!L37+'ANT Inc Statement'!L37+'ACC Inc Statement'!L37+'PUC Inc. Statement'!L37+'AASPA Inc. Statement'!L37+'AFSC Inc. Statement'!L37+'PSPF Inc. Statement'!L37+'ATB Inc. Statement'!L37+'ASSB Inc. Statement'!L37+'HAA Inc. Statement'!L37+'WCA Inc. Statement'!L37</f>
        <v>435891.25</v>
      </c>
      <c r="M37" s="182">
        <f>'ADB Inc. Statement'!M37+'ANT Inc Statement'!M37+'ACC Inc Statement'!M37+'PUC Inc. Statement'!M37+'AASPA Inc. Statement'!M37+'AFSC Inc. Statement'!M37+'PSPF Inc. Statement'!M37+'ATB Inc. Statement'!M37+'ASSB Inc. Statement'!M37+'HAA Inc. Statement'!M37+'WCA Inc. Statement'!M37</f>
        <v>415508.09539999999</v>
      </c>
      <c r="N37" s="219">
        <f t="shared" si="24"/>
        <v>-20383.154600000009</v>
      </c>
      <c r="O37" s="222">
        <f t="shared" si="17"/>
        <v>-4.6762018278641772E-2</v>
      </c>
      <c r="P37" s="256"/>
      <c r="Q37" s="182">
        <f>'ADB Inc. Statement'!Q37+'ANT Inc Statement'!Q37+'ACC Inc Statement'!Q37+'PUC Inc. Statement'!Q37+'AASPA Inc. Statement'!Q37+'AFSC Inc. Statement'!Q37+'PSPF Inc. Statement'!Q37+'ATB Inc. Statement'!Q37+'ASSB Inc. Statement'!Q37+'HAA Inc. Statement'!Q37+'WCA Inc. Statement'!Q37</f>
        <v>425891.25</v>
      </c>
      <c r="R37" s="182">
        <f>'ADB Inc. Statement'!R37+'ANT Inc Statement'!R37+'ACC Inc Statement'!R37+'PUC Inc. Statement'!R37+'AASPA Inc. Statement'!R37+'AFSC Inc. Statement'!R37+'PSPF Inc. Statement'!R37+'ATB Inc. Statement'!R37+'ASSB Inc. Statement'!R37+'HAA Inc. Statement'!R37+'WCA Inc. Statement'!R37</f>
        <v>541807.40540000005</v>
      </c>
      <c r="S37" s="219">
        <f t="shared" si="25"/>
        <v>115916.15540000005</v>
      </c>
      <c r="T37" s="223">
        <f t="shared" si="18"/>
        <v>0.27217313199085458</v>
      </c>
      <c r="U37" s="256"/>
      <c r="V37" s="224">
        <f t="shared" si="19"/>
        <v>1918415.024</v>
      </c>
      <c r="W37" s="219">
        <f t="shared" si="19"/>
        <v>1850471.4232391301</v>
      </c>
      <c r="X37" s="219">
        <f t="shared" si="26"/>
        <v>-67943.600760869915</v>
      </c>
      <c r="Y37" s="222">
        <f t="shared" si="20"/>
        <v>-3.5416528702534762E-2</v>
      </c>
      <c r="Z37" s="257"/>
      <c r="AA37" s="182">
        <f>'ADB Inc. Statement'!AA37+'ANT Inc Statement'!AA37+'ACC Inc Statement'!AA37+'PUC Inc. Statement'!AA37+'AASPA Inc. Statement'!AA37+'AFSC Inc. Statement'!AA37+'PSPF Inc. Statement'!AA37+'ATB Inc. Statement'!AA37+'ASSB Inc. Statement'!AA37+'HAA Inc. Statement'!AA37+'WCA Inc. Statement'!AA37</f>
        <v>1847711</v>
      </c>
      <c r="AB37" s="219">
        <f t="shared" si="27"/>
        <v>-2760.4232391300611</v>
      </c>
      <c r="AC37" s="222">
        <f t="shared" si="21"/>
        <v>-1.4939691537962708E-3</v>
      </c>
      <c r="AD37" s="256"/>
      <c r="AE37" s="189"/>
    </row>
    <row r="38" spans="1:31" x14ac:dyDescent="0.3">
      <c r="A38" s="190" t="s">
        <v>130</v>
      </c>
      <c r="B38" s="182">
        <f>'ADB Inc. Statement'!B38+'ANT Inc Statement'!B38+'ACC Inc Statement'!B38+'PUC Inc. Statement'!B38+'AASPA Inc. Statement'!B38+'AFSC Inc. Statement'!B38+'PSPF Inc. Statement'!B38+'ATB Inc. Statement'!B38+'ASSB Inc. Statement'!B38+'HAA Inc. Statement'!B38+'WCA Inc. Statement'!B38</f>
        <v>707378.02320675005</v>
      </c>
      <c r="C38" s="182">
        <f>'ADB Inc. Statement'!C38+'ANT Inc Statement'!C38+'ACC Inc Statement'!C38+'PUC Inc. Statement'!C38+'AASPA Inc. Statement'!C38+'AFSC Inc. Statement'!C38+'PSPF Inc. Statement'!C38+'ATB Inc. Statement'!C38+'ASSB Inc. Statement'!C38+'HAA Inc. Statement'!C38+'WCA Inc. Statement'!C38</f>
        <v>641381.71837666992</v>
      </c>
      <c r="D38" s="219">
        <f t="shared" si="22"/>
        <v>-65996.304830080131</v>
      </c>
      <c r="E38" s="220">
        <f t="shared" si="15"/>
        <v>-9.3297081143261573E-2</v>
      </c>
      <c r="F38" s="191"/>
      <c r="G38" s="182">
        <f>'ADB Inc. Statement'!G38+'ANT Inc Statement'!G38+'ACC Inc Statement'!G38+'PUC Inc. Statement'!G38+'AASPA Inc. Statement'!G38+'AFSC Inc. Statement'!G38+'PSPF Inc. Statement'!G38+'ATB Inc. Statement'!G38+'ASSB Inc. Statement'!G38+'HAA Inc. Statement'!G38+'WCA Inc. Statement'!G38</f>
        <v>641645.02320675005</v>
      </c>
      <c r="H38" s="182">
        <f>'ADB Inc. Statement'!H38+'ANT Inc Statement'!H38+'ACC Inc Statement'!H38+'PUC Inc. Statement'!H38+'AASPA Inc. Statement'!H38+'AFSC Inc. Statement'!H38+'PSPF Inc. Statement'!H38+'ATB Inc. Statement'!H38+'ASSB Inc. Statement'!H38+'HAA Inc. Statement'!H38+'WCA Inc. Statement'!H38</f>
        <v>651746.50407167</v>
      </c>
      <c r="I38" s="219">
        <f t="shared" si="23"/>
        <v>10101.480864919955</v>
      </c>
      <c r="J38" s="221">
        <f t="shared" si="16"/>
        <v>1.5743098597470254E-2</v>
      </c>
      <c r="K38" s="191"/>
      <c r="L38" s="182">
        <f>'ADB Inc. Statement'!L38+'ANT Inc Statement'!L38+'ACC Inc Statement'!L38+'PUC Inc. Statement'!L38+'AASPA Inc. Statement'!L38+'AFSC Inc. Statement'!L38+'PSPF Inc. Statement'!L38+'ATB Inc. Statement'!L38+'ASSB Inc. Statement'!L38+'HAA Inc. Statement'!L38+'WCA Inc. Statement'!L38</f>
        <v>641644.998716</v>
      </c>
      <c r="M38" s="182">
        <f>'ADB Inc. Statement'!M38+'ANT Inc Statement'!M38+'ACC Inc Statement'!M38+'PUC Inc. Statement'!M38+'AASPA Inc. Statement'!M38+'AFSC Inc. Statement'!M38+'PSPF Inc. Statement'!M38+'ATB Inc. Statement'!M38+'ASSB Inc. Statement'!M38+'HAA Inc. Statement'!M38+'WCA Inc. Statement'!M38</f>
        <v>650874.67088450002</v>
      </c>
      <c r="N38" s="219">
        <f t="shared" si="24"/>
        <v>9229.672168500023</v>
      </c>
      <c r="O38" s="222">
        <f t="shared" si="17"/>
        <v>1.4384390413654871E-2</v>
      </c>
      <c r="P38" s="191"/>
      <c r="Q38" s="182">
        <f>'ADB Inc. Statement'!Q38+'ANT Inc Statement'!Q38+'ACC Inc Statement'!Q38+'PUC Inc. Statement'!Q38+'AASPA Inc. Statement'!Q38+'AFSC Inc. Statement'!Q38+'PSPF Inc. Statement'!Q38+'ATB Inc. Statement'!Q38+'ASSB Inc. Statement'!Q38+'HAA Inc. Statement'!Q38+'WCA Inc. Statement'!Q38</f>
        <v>638317.998716</v>
      </c>
      <c r="R38" s="182">
        <f>'ADB Inc. Statement'!R38+'ANT Inc Statement'!R38+'ACC Inc Statement'!R38+'PUC Inc. Statement'!R38+'AASPA Inc. Statement'!R38+'AFSC Inc. Statement'!R38+'PSPF Inc. Statement'!R38+'ATB Inc. Statement'!R38+'ASSB Inc. Statement'!R38+'HAA Inc. Statement'!R38+'WCA Inc. Statement'!R38</f>
        <v>774762.00089649996</v>
      </c>
      <c r="S38" s="219">
        <f t="shared" si="25"/>
        <v>136444.00218049996</v>
      </c>
      <c r="T38" s="223">
        <f t="shared" si="18"/>
        <v>0.21375553008839177</v>
      </c>
      <c r="U38" s="191"/>
      <c r="V38" s="224">
        <f t="shared" si="19"/>
        <v>2628986.0438454999</v>
      </c>
      <c r="W38" s="219">
        <f t="shared" si="19"/>
        <v>2718764.8942293399</v>
      </c>
      <c r="X38" s="219">
        <f t="shared" si="26"/>
        <v>89778.850383840036</v>
      </c>
      <c r="Y38" s="222">
        <f t="shared" si="20"/>
        <v>3.4149610871466521E-2</v>
      </c>
      <c r="Z38" s="188"/>
      <c r="AA38" s="182">
        <f>'ADB Inc. Statement'!AA38+'ANT Inc Statement'!AA38+'ACC Inc Statement'!AA38+'PUC Inc. Statement'!AA38+'AASPA Inc. Statement'!AA38+'AFSC Inc. Statement'!AA38+'PSPF Inc. Statement'!AA38+'ATB Inc. Statement'!AA38+'ASSB Inc. Statement'!AA38+'HAA Inc. Statement'!AA38+'WCA Inc. Statement'!AA38</f>
        <v>2916767.1148640001</v>
      </c>
      <c r="AB38" s="219">
        <f t="shared" si="27"/>
        <v>198002.22063466022</v>
      </c>
      <c r="AC38" s="222">
        <f t="shared" si="21"/>
        <v>6.7884137758421087E-2</v>
      </c>
      <c r="AD38" s="191"/>
      <c r="AE38" s="193"/>
    </row>
    <row r="39" spans="1:31" x14ac:dyDescent="0.3">
      <c r="A39" s="190" t="s">
        <v>129</v>
      </c>
      <c r="B39" s="182">
        <f>'ADB Inc. Statement'!B39+'ANT Inc Statement'!B39+'ACC Inc Statement'!B39+'PUC Inc. Statement'!B39+'AASPA Inc. Statement'!B39+'AFSC Inc. Statement'!B39+'PSPF Inc. Statement'!B39+'ATB Inc. Statement'!B39+'ASSB Inc. Statement'!B39+'HAA Inc. Statement'!B39+'WCA Inc. Statement'!B39</f>
        <v>8250</v>
      </c>
      <c r="C39" s="182">
        <f>'ADB Inc. Statement'!C39+'ANT Inc Statement'!C39+'ACC Inc Statement'!C39+'PUC Inc. Statement'!C39+'AASPA Inc. Statement'!C39+'AFSC Inc. Statement'!C39+'PSPF Inc. Statement'!C39+'ATB Inc. Statement'!C39+'ASSB Inc. Statement'!C39+'HAA Inc. Statement'!C39+'WCA Inc. Statement'!C39</f>
        <v>1</v>
      </c>
      <c r="D39" s="219">
        <f t="shared" si="22"/>
        <v>-8249</v>
      </c>
      <c r="E39" s="220">
        <f t="shared" si="15"/>
        <v>-0.99987878787878792</v>
      </c>
      <c r="F39" s="191"/>
      <c r="G39" s="182">
        <f>'ADB Inc. Statement'!G39+'ANT Inc Statement'!G39+'ACC Inc Statement'!G39+'PUC Inc. Statement'!G39+'AASPA Inc. Statement'!G39+'AFSC Inc. Statement'!G39+'PSPF Inc. Statement'!G39+'ATB Inc. Statement'!G39+'ASSB Inc. Statement'!G39+'HAA Inc. Statement'!G39+'WCA Inc. Statement'!G39</f>
        <v>8250</v>
      </c>
      <c r="H39" s="182">
        <f>'ADB Inc. Statement'!H39+'ANT Inc Statement'!H39+'ACC Inc Statement'!H39+'PUC Inc. Statement'!H39+'AASPA Inc. Statement'!H39+'AFSC Inc. Statement'!H39+'PSPF Inc. Statement'!H39+'ATB Inc. Statement'!H39+'ASSB Inc. Statement'!H39+'HAA Inc. Statement'!H39+'WCA Inc. Statement'!H39</f>
        <v>1</v>
      </c>
      <c r="I39" s="219">
        <f t="shared" si="23"/>
        <v>-8249</v>
      </c>
      <c r="J39" s="221">
        <f t="shared" si="16"/>
        <v>-0.99987878787878792</v>
      </c>
      <c r="K39" s="191"/>
      <c r="L39" s="182">
        <f>'ADB Inc. Statement'!L39+'ANT Inc Statement'!L39+'ACC Inc Statement'!L39+'PUC Inc. Statement'!L39+'AASPA Inc. Statement'!L39+'AFSC Inc. Statement'!L39+'PSPF Inc. Statement'!L39+'ATB Inc. Statement'!L39+'ASSB Inc. Statement'!L39+'HAA Inc. Statement'!L39+'WCA Inc. Statement'!L39</f>
        <v>8250</v>
      </c>
      <c r="M39" s="182">
        <f>'ADB Inc. Statement'!M39+'ANT Inc Statement'!M39+'ACC Inc Statement'!M39+'PUC Inc. Statement'!M39+'AASPA Inc. Statement'!M39+'AFSC Inc. Statement'!M39+'PSPF Inc. Statement'!M39+'ATB Inc. Statement'!M39+'ASSB Inc. Statement'!M39+'HAA Inc. Statement'!M39+'WCA Inc. Statement'!M39</f>
        <v>17064.2</v>
      </c>
      <c r="N39" s="219">
        <f t="shared" si="24"/>
        <v>8814.2000000000007</v>
      </c>
      <c r="O39" s="222">
        <f t="shared" si="17"/>
        <v>1.0683878787878789</v>
      </c>
      <c r="P39" s="191"/>
      <c r="Q39" s="182">
        <f>'ADB Inc. Statement'!Q39+'ANT Inc Statement'!Q39+'ACC Inc Statement'!Q39+'PUC Inc. Statement'!Q39+'AASPA Inc. Statement'!Q39+'AFSC Inc. Statement'!Q39+'PSPF Inc. Statement'!Q39+'ATB Inc. Statement'!Q39+'ASSB Inc. Statement'!Q39+'HAA Inc. Statement'!Q39+'WCA Inc. Statement'!Q39</f>
        <v>8250</v>
      </c>
      <c r="R39" s="182">
        <f>'ADB Inc. Statement'!R39+'ANT Inc Statement'!R39+'ACC Inc Statement'!R39+'PUC Inc. Statement'!R39+'AASPA Inc. Statement'!R39+'AFSC Inc. Statement'!R39+'PSPF Inc. Statement'!R39+'ATB Inc. Statement'!R39+'ASSB Inc. Statement'!R39+'HAA Inc. Statement'!R39+'WCA Inc. Statement'!R39</f>
        <v>19962.778370000004</v>
      </c>
      <c r="S39" s="219">
        <f t="shared" si="25"/>
        <v>11712.778370000004</v>
      </c>
      <c r="T39" s="223">
        <f t="shared" si="18"/>
        <v>1.4197307115151521</v>
      </c>
      <c r="U39" s="191"/>
      <c r="V39" s="224">
        <f t="shared" si="19"/>
        <v>33000</v>
      </c>
      <c r="W39" s="219">
        <f t="shared" si="19"/>
        <v>37028.978370000004</v>
      </c>
      <c r="X39" s="219">
        <f t="shared" si="26"/>
        <v>4028.9783700000044</v>
      </c>
      <c r="Y39" s="222">
        <f t="shared" si="20"/>
        <v>0.12209025363636376</v>
      </c>
      <c r="Z39" s="188"/>
      <c r="AA39" s="182">
        <f>'ADB Inc. Statement'!AA39+'ANT Inc Statement'!AA39+'ACC Inc Statement'!AA39+'PUC Inc. Statement'!AA39+'AASPA Inc. Statement'!AA39+'AFSC Inc. Statement'!AA39+'PSPF Inc. Statement'!AA39+'ATB Inc. Statement'!AA39+'ASSB Inc. Statement'!AA39+'HAA Inc. Statement'!AA39+'WCA Inc. Statement'!AA39</f>
        <v>33000</v>
      </c>
      <c r="AB39" s="219">
        <f t="shared" si="27"/>
        <v>-4028.9783700000044</v>
      </c>
      <c r="AC39" s="222">
        <f t="shared" si="21"/>
        <v>-0.12209025363636376</v>
      </c>
      <c r="AD39" s="191"/>
      <c r="AE39" s="193"/>
    </row>
    <row r="40" spans="1:31" x14ac:dyDescent="0.3">
      <c r="A40" s="258" t="s">
        <v>40</v>
      </c>
      <c r="B40" s="182">
        <f>'ADB Inc. Statement'!B40+'ANT Inc Statement'!B40+'ACC Inc Statement'!B40+'PUC Inc. Statement'!B40+'AASPA Inc. Statement'!B40+'AFSC Inc. Statement'!B40+'PSPF Inc. Statement'!B40+'ATB Inc. Statement'!B40+'ASSB Inc. Statement'!B40+'HAA Inc. Statement'!B40+'WCA Inc. Statement'!B40</f>
        <v>65650.760936000006</v>
      </c>
      <c r="C40" s="182">
        <f>'ADB Inc. Statement'!C40+'ANT Inc Statement'!C40+'ACC Inc Statement'!C40+'PUC Inc. Statement'!C40+'AASPA Inc. Statement'!C40+'AFSC Inc. Statement'!C40+'PSPF Inc. Statement'!C40+'ATB Inc. Statement'!C40+'ASSB Inc. Statement'!C40+'HAA Inc. Statement'!C40+'WCA Inc. Statement'!C40</f>
        <v>46663.585229999997</v>
      </c>
      <c r="D40" s="219">
        <f t="shared" si="22"/>
        <v>-18987.175706000009</v>
      </c>
      <c r="E40" s="259">
        <f t="shared" si="15"/>
        <v>-0.28921486111196426</v>
      </c>
      <c r="F40" s="184"/>
      <c r="G40" s="182">
        <f>'ADB Inc. Statement'!G40+'ANT Inc Statement'!G40+'ACC Inc Statement'!G40+'PUC Inc. Statement'!G40+'AASPA Inc. Statement'!G40+'AFSC Inc. Statement'!G40+'PSPF Inc. Statement'!G40+'ATB Inc. Statement'!G40+'ASSB Inc. Statement'!G40+'HAA Inc. Statement'!G40+'WCA Inc. Statement'!G40</f>
        <v>36925.260920000001</v>
      </c>
      <c r="H40" s="182">
        <f>'ADB Inc. Statement'!H40+'ANT Inc Statement'!H40+'ACC Inc Statement'!H40+'PUC Inc. Statement'!H40+'AASPA Inc. Statement'!H40+'AFSC Inc. Statement'!H40+'PSPF Inc. Statement'!H40+'ATB Inc. Statement'!H40+'ASSB Inc. Statement'!H40+'HAA Inc. Statement'!H40+'WCA Inc. Statement'!H40</f>
        <v>67166.954733999999</v>
      </c>
      <c r="I40" s="219">
        <f t="shared" si="23"/>
        <v>30241.693813999998</v>
      </c>
      <c r="J40" s="260">
        <f t="shared" si="16"/>
        <v>0.81899743049940232</v>
      </c>
      <c r="K40" s="184"/>
      <c r="L40" s="182">
        <f>'ADB Inc. Statement'!L40+'ANT Inc Statement'!L40+'ACC Inc Statement'!L40+'PUC Inc. Statement'!L40+'AASPA Inc. Statement'!L40+'AFSC Inc. Statement'!L40+'PSPF Inc. Statement'!L40+'ATB Inc. Statement'!L40+'ASSB Inc. Statement'!L40+'HAA Inc. Statement'!L40+'WCA Inc. Statement'!L40</f>
        <v>37471.575744000002</v>
      </c>
      <c r="M40" s="182">
        <f>'ADB Inc. Statement'!M40+'ANT Inc Statement'!M40+'ACC Inc Statement'!M40+'PUC Inc. Statement'!M40+'AASPA Inc. Statement'!M40+'AFSC Inc. Statement'!M40+'PSPF Inc. Statement'!M40+'ATB Inc. Statement'!M40+'ASSB Inc. Statement'!M40+'HAA Inc. Statement'!M40+'WCA Inc. Statement'!M40</f>
        <v>101544.91584200002</v>
      </c>
      <c r="N40" s="219">
        <f t="shared" si="24"/>
        <v>64073.340098000015</v>
      </c>
      <c r="O40" s="261">
        <f t="shared" si="17"/>
        <v>1.7099184869016224</v>
      </c>
      <c r="P40" s="184"/>
      <c r="Q40" s="182">
        <f>'ADB Inc. Statement'!Q40+'ANT Inc Statement'!Q40+'ACC Inc Statement'!Q40+'PUC Inc. Statement'!Q40+'AASPA Inc. Statement'!Q40+'AFSC Inc. Statement'!Q40+'PSPF Inc. Statement'!Q40+'ATB Inc. Statement'!Q40+'ASSB Inc. Statement'!Q40+'HAA Inc. Statement'!Q40+'WCA Inc. Statement'!Q40</f>
        <v>35875.25</v>
      </c>
      <c r="R40" s="182">
        <f>'ADB Inc. Statement'!R40+'ANT Inc Statement'!R40+'ACC Inc Statement'!R40+'PUC Inc. Statement'!R40+'AASPA Inc. Statement'!R40+'AFSC Inc. Statement'!R40+'PSPF Inc. Statement'!R40+'ATB Inc. Statement'!R40+'ASSB Inc. Statement'!R40+'HAA Inc. Statement'!R40+'WCA Inc. Statement'!R40</f>
        <v>119344.82999999999</v>
      </c>
      <c r="S40" s="219">
        <f t="shared" si="25"/>
        <v>83469.579999999987</v>
      </c>
      <c r="T40" s="234">
        <f t="shared" si="18"/>
        <v>2.3266619744810138</v>
      </c>
      <c r="U40" s="184"/>
      <c r="V40" s="262">
        <f t="shared" si="19"/>
        <v>175922.84760000001</v>
      </c>
      <c r="W40" s="263">
        <f t="shared" si="19"/>
        <v>334720.285806</v>
      </c>
      <c r="X40" s="219">
        <f t="shared" si="26"/>
        <v>158797.43820599999</v>
      </c>
      <c r="Y40" s="261">
        <f t="shared" si="20"/>
        <v>0.90265386430682115</v>
      </c>
      <c r="Z40" s="188"/>
      <c r="AA40" s="182">
        <f>'ADB Inc. Statement'!AA40+'ANT Inc Statement'!AA40+'ACC Inc Statement'!AA40+'PUC Inc. Statement'!AA40+'AASPA Inc. Statement'!AA40+'AFSC Inc. Statement'!AA40+'PSPF Inc. Statement'!AA40+'ATB Inc. Statement'!AA40+'ASSB Inc. Statement'!AA40+'HAA Inc. Statement'!AA40+'WCA Inc. Statement'!AA40</f>
        <v>305827.29759999999</v>
      </c>
      <c r="AB40" s="219">
        <f t="shared" si="27"/>
        <v>-28892.988206000009</v>
      </c>
      <c r="AC40" s="261">
        <f t="shared" si="21"/>
        <v>-9.4474850455599127E-2</v>
      </c>
      <c r="AD40" s="184"/>
      <c r="AE40" s="193"/>
    </row>
    <row r="41" spans="1:31" x14ac:dyDescent="0.3">
      <c r="A41" s="199" t="s">
        <v>83</v>
      </c>
      <c r="B41" s="235">
        <f>SUM(B33:B40)</f>
        <v>12958037.74496975</v>
      </c>
      <c r="C41" s="236">
        <f>SUM(C33:C40)</f>
        <v>11142986.002051279</v>
      </c>
      <c r="D41" s="236">
        <f>SUM(D33:D40)</f>
        <v>-1815051.7429184706</v>
      </c>
      <c r="E41" s="237">
        <f t="shared" si="15"/>
        <v>-0.140071496830071</v>
      </c>
      <c r="F41" s="191"/>
      <c r="G41" s="235">
        <f>SUM(G33:G40)</f>
        <v>12749412.24495375</v>
      </c>
      <c r="H41" s="236">
        <f>SUM(H33:H40)</f>
        <v>11469569.37780134</v>
      </c>
      <c r="I41" s="236">
        <f>SUM(I33:I40)</f>
        <v>-1279842.8671524087</v>
      </c>
      <c r="J41" s="237">
        <f t="shared" si="16"/>
        <v>-0.10038446028435341</v>
      </c>
      <c r="K41" s="191"/>
      <c r="L41" s="235">
        <f>SUM(L33:L40)</f>
        <v>12708667.766673999</v>
      </c>
      <c r="M41" s="236">
        <f>SUM(M33:M40)</f>
        <v>11476099.016264848</v>
      </c>
      <c r="N41" s="236">
        <f>SUM(N33:N40)</f>
        <v>-1232568.7504091514</v>
      </c>
      <c r="O41" s="238">
        <f t="shared" si="17"/>
        <v>-9.698646412343255E-2</v>
      </c>
      <c r="P41" s="191"/>
      <c r="Q41" s="235">
        <f>SUM(Q33:Q40)</f>
        <v>12746608.953455249</v>
      </c>
      <c r="R41" s="236">
        <f>SUM(R33:R40)</f>
        <v>13868122.253172053</v>
      </c>
      <c r="S41" s="236">
        <f>SUM(S33:S40)</f>
        <v>1121513.2997168016</v>
      </c>
      <c r="T41" s="238">
        <f t="shared" si="18"/>
        <v>8.7985228370310267E-2</v>
      </c>
      <c r="U41" s="191"/>
      <c r="V41" s="235">
        <f>SUM(V33:V40)</f>
        <v>51162726.710052744</v>
      </c>
      <c r="W41" s="236">
        <f>SUM(W33:W40)</f>
        <v>47956776.649289519</v>
      </c>
      <c r="X41" s="236">
        <f>SUM(X33:X40)</f>
        <v>-3205950.0607632329</v>
      </c>
      <c r="Y41" s="238">
        <f t="shared" si="20"/>
        <v>-6.2661829556736853E-2</v>
      </c>
      <c r="Z41" s="188"/>
      <c r="AA41" s="239">
        <f>SUM(AA33:AA40)</f>
        <v>52605978.916763991</v>
      </c>
      <c r="AB41" s="240">
        <f>SUM(AB33:AB40)</f>
        <v>4649202.2674744753</v>
      </c>
      <c r="AC41" s="264">
        <f t="shared" si="21"/>
        <v>8.8377830109970829E-2</v>
      </c>
      <c r="AD41" s="191"/>
      <c r="AE41" s="209"/>
    </row>
    <row r="42" spans="1:31" x14ac:dyDescent="0.3">
      <c r="A42" s="242"/>
      <c r="B42" s="211"/>
      <c r="C42" s="212"/>
      <c r="D42" s="212"/>
      <c r="E42" s="213"/>
      <c r="F42" s="184"/>
      <c r="G42" s="214"/>
      <c r="H42" s="215"/>
      <c r="I42" s="215"/>
      <c r="J42" s="216"/>
      <c r="K42" s="184"/>
      <c r="L42" s="211"/>
      <c r="M42" s="212"/>
      <c r="N42" s="212"/>
      <c r="O42" s="217"/>
      <c r="P42" s="184"/>
      <c r="Q42" s="214"/>
      <c r="R42" s="215"/>
      <c r="S42" s="215"/>
      <c r="T42" s="265"/>
      <c r="U42" s="184"/>
      <c r="V42" s="211"/>
      <c r="W42" s="212"/>
      <c r="X42" s="212"/>
      <c r="Y42" s="217"/>
      <c r="Z42" s="188"/>
      <c r="AA42" s="211"/>
      <c r="AB42" s="212"/>
      <c r="AC42" s="217"/>
      <c r="AD42" s="184"/>
      <c r="AE42" s="189"/>
    </row>
    <row r="43" spans="1:31" x14ac:dyDescent="0.3">
      <c r="A43" s="172" t="s">
        <v>84</v>
      </c>
      <c r="B43" s="266"/>
      <c r="C43" s="267"/>
      <c r="D43" s="267"/>
      <c r="E43" s="268"/>
      <c r="F43" s="175"/>
      <c r="G43" s="269"/>
      <c r="H43" s="270"/>
      <c r="I43" s="270"/>
      <c r="J43" s="271"/>
      <c r="K43" s="175"/>
      <c r="L43" s="266"/>
      <c r="M43" s="267"/>
      <c r="N43" s="267"/>
      <c r="O43" s="272"/>
      <c r="P43" s="175"/>
      <c r="Q43" s="269"/>
      <c r="R43" s="270"/>
      <c r="S43" s="270"/>
      <c r="T43" s="273"/>
      <c r="U43" s="175"/>
      <c r="V43" s="266"/>
      <c r="W43" s="267"/>
      <c r="X43" s="219"/>
      <c r="Y43" s="225"/>
      <c r="Z43" s="179"/>
      <c r="AA43" s="266"/>
      <c r="AB43" s="219"/>
      <c r="AC43" s="225"/>
      <c r="AD43" s="175"/>
      <c r="AE43" s="189"/>
    </row>
    <row r="44" spans="1:31" x14ac:dyDescent="0.3">
      <c r="A44" s="190" t="s">
        <v>85</v>
      </c>
      <c r="B44" s="182">
        <f>'ADB Inc. Statement'!B44+'ANT Inc Statement'!B44+'ACC Inc Statement'!B44+'PUC Inc. Statement'!B44+'AASPA Inc. Statement'!B44+'AFSC Inc. Statement'!B44+'PSPF Inc. Statement'!B44+'ATB Inc. Statement'!B44+'ASSB Inc. Statement'!B44+'HAA Inc. Statement'!B44+'WCA Inc. Statement'!B44</f>
        <v>995454.50037499995</v>
      </c>
      <c r="C44" s="182">
        <f>'ADB Inc. Statement'!C44+'ANT Inc Statement'!C44+'ACC Inc Statement'!C44+'PUC Inc. Statement'!C44+'AASPA Inc. Statement'!C44+'AFSC Inc. Statement'!C44+'PSPF Inc. Statement'!C44+'ATB Inc. Statement'!C44+'ASSB Inc. Statement'!C44+'HAA Inc. Statement'!C44+'WCA Inc. Statement'!C44</f>
        <v>1137888.2106299999</v>
      </c>
      <c r="D44" s="219">
        <f>C44-B44</f>
        <v>142433.71025499993</v>
      </c>
      <c r="E44" s="220">
        <f t="shared" ref="E44:E76" si="28">IF(ISERROR(D44/B44),"-",D44/B44)</f>
        <v>0.14308409897322619</v>
      </c>
      <c r="F44" s="191"/>
      <c r="G44" s="182">
        <f>'ADB Inc. Statement'!G44+'ANT Inc Statement'!G44+'ACC Inc Statement'!G44+'PUC Inc. Statement'!G44+'AASPA Inc. Statement'!G44+'AFSC Inc. Statement'!G44+'PSPF Inc. Statement'!G44+'ATB Inc. Statement'!G44+'ASSB Inc. Statement'!G44+'HAA Inc. Statement'!G44+'WCA Inc. Statement'!G44</f>
        <v>996121.16037499998</v>
      </c>
      <c r="H44" s="182">
        <f>'ADB Inc. Statement'!H44+'ANT Inc Statement'!H44+'ACC Inc Statement'!H44+'PUC Inc. Statement'!H44+'AASPA Inc. Statement'!H44+'AFSC Inc. Statement'!H44+'PSPF Inc. Statement'!H44+'ATB Inc. Statement'!H44+'ASSB Inc. Statement'!H44+'HAA Inc. Statement'!H44+'WCA Inc. Statement'!H44</f>
        <v>996897.21024299995</v>
      </c>
      <c r="I44" s="219">
        <f>H44-G44</f>
        <v>776.04986799997278</v>
      </c>
      <c r="J44" s="221">
        <f t="shared" ref="J44:J75" si="29">IF(ISERROR(I44/G44),"-",I44/G44)</f>
        <v>7.7907176242277682E-4</v>
      </c>
      <c r="K44" s="191"/>
      <c r="L44" s="182">
        <f>'ADB Inc. Statement'!L44+'ANT Inc Statement'!L44+'ACC Inc Statement'!L44+'PUC Inc. Statement'!L44+'AASPA Inc. Statement'!L44+'AFSC Inc. Statement'!L44+'PSPF Inc. Statement'!L44+'ATB Inc. Statement'!L44+'ASSB Inc. Statement'!L44+'HAA Inc. Statement'!L44+'WCA Inc. Statement'!L44</f>
        <v>998809.36</v>
      </c>
      <c r="M44" s="182">
        <f>'ADB Inc. Statement'!M44+'ANT Inc Statement'!M44+'ACC Inc Statement'!M44+'PUC Inc. Statement'!M44+'AASPA Inc. Statement'!M44+'AFSC Inc. Statement'!M44+'PSPF Inc. Statement'!M44+'ATB Inc. Statement'!M44+'ASSB Inc. Statement'!M44+'HAA Inc. Statement'!M44+'WCA Inc. Statement'!M44</f>
        <v>1544172.2822879998</v>
      </c>
      <c r="N44" s="219">
        <f>M44-L44</f>
        <v>545362.92228799977</v>
      </c>
      <c r="O44" s="222">
        <f t="shared" ref="O44:O75" si="30">IF(ISERROR(N44/L44),"-",N44/L44)</f>
        <v>0.54601302723875134</v>
      </c>
      <c r="P44" s="191"/>
      <c r="Q44" s="182">
        <f>'ADB Inc. Statement'!Q44+'ANT Inc Statement'!Q44+'ACC Inc Statement'!Q44+'PUC Inc. Statement'!Q44+'AASPA Inc. Statement'!Q44+'AFSC Inc. Statement'!Q44+'PSPF Inc. Statement'!Q44+'ATB Inc. Statement'!Q44+'ASSB Inc. Statement'!Q44+'HAA Inc. Statement'!Q44+'WCA Inc. Statement'!Q44</f>
        <v>1008218.08</v>
      </c>
      <c r="R44" s="182">
        <f>'ADB Inc. Statement'!R44+'ANT Inc Statement'!R44+'ACC Inc Statement'!R44+'PUC Inc. Statement'!R44+'AASPA Inc. Statement'!R44+'AFSC Inc. Statement'!R44+'PSPF Inc. Statement'!R44+'ATB Inc. Statement'!R44+'ASSB Inc. Statement'!R44+'HAA Inc. Statement'!R44+'WCA Inc. Statement'!R44</f>
        <v>1681027.3799633801</v>
      </c>
      <c r="S44" s="219">
        <f>R44-Q44</f>
        <v>672809.29996338009</v>
      </c>
      <c r="T44" s="223">
        <f t="shared" ref="T44:T75" si="31">IF(ISERROR(S44/Q44),"-",S44/Q44)</f>
        <v>0.66732516834391631</v>
      </c>
      <c r="U44" s="191"/>
      <c r="V44" s="224">
        <f t="shared" ref="V44:W75" si="32">B44+G44+L44+Q44</f>
        <v>3998603.1007499998</v>
      </c>
      <c r="W44" s="219">
        <f t="shared" si="32"/>
        <v>5359985.0831243796</v>
      </c>
      <c r="X44" s="219">
        <f>W44-V44</f>
        <v>1361381.9823743799</v>
      </c>
      <c r="Y44" s="222">
        <f t="shared" ref="Y44:Y76" si="33">IF(ISERROR(X44/V44),"-",X44/V44)</f>
        <v>0.34046439420782515</v>
      </c>
      <c r="Z44" s="188"/>
      <c r="AA44" s="182">
        <f>'ADB Inc. Statement'!AA44+'ANT Inc Statement'!AA44+'ACC Inc Statement'!AA44+'PUC Inc. Statement'!AA44+'AASPA Inc. Statement'!AA44+'AFSC Inc. Statement'!AA44+'PSPF Inc. Statement'!AA44+'ATB Inc. Statement'!AA44+'ASSB Inc. Statement'!AA44+'HAA Inc. Statement'!AA44+'WCA Inc. Statement'!AA44</f>
        <v>3989981.1</v>
      </c>
      <c r="AB44" s="219">
        <f t="shared" ref="AB44:AB75" si="34">AA44-W44</f>
        <v>-1370003.9831243795</v>
      </c>
      <c r="AC44" s="222">
        <f t="shared" ref="AC44:AC76" si="35">IF(ISERROR(AB44/AA44),"-",AB44/AA44)</f>
        <v>-0.343361020713702</v>
      </c>
      <c r="AD44" s="191"/>
      <c r="AE44" s="274"/>
    </row>
    <row r="45" spans="1:31" x14ac:dyDescent="0.3">
      <c r="A45" s="190" t="s">
        <v>128</v>
      </c>
      <c r="B45" s="182">
        <f>'ADB Inc. Statement'!B45+'ANT Inc Statement'!B45+'ACC Inc Statement'!B45+'PUC Inc. Statement'!B45+'AASPA Inc. Statement'!B45+'AFSC Inc. Statement'!B45+'PSPF Inc. Statement'!B45+'ATB Inc. Statement'!B45+'ASSB Inc. Statement'!B45+'HAA Inc. Statement'!B45+'WCA Inc. Statement'!B45</f>
        <v>237513.290125</v>
      </c>
      <c r="C45" s="182">
        <f>'ADB Inc. Statement'!C45+'ANT Inc Statement'!C45+'ACC Inc Statement'!C45+'PUC Inc. Statement'!C45+'AASPA Inc. Statement'!C45+'AFSC Inc. Statement'!C45+'PSPF Inc. Statement'!C45+'ATB Inc. Statement'!C45+'ASSB Inc. Statement'!C45+'HAA Inc. Statement'!C45+'WCA Inc. Statement'!C45</f>
        <v>18817.437433170002</v>
      </c>
      <c r="D45" s="219">
        <f t="shared" ref="D45:D75" si="36">C45-B45</f>
        <v>-218695.85269182999</v>
      </c>
      <c r="E45" s="220">
        <f t="shared" si="28"/>
        <v>-0.92077311790314287</v>
      </c>
      <c r="F45" s="256"/>
      <c r="G45" s="182">
        <f>'ADB Inc. Statement'!G45+'ANT Inc Statement'!G45+'ACC Inc Statement'!G45+'PUC Inc. Statement'!G45+'AASPA Inc. Statement'!G45+'AFSC Inc. Statement'!G45+'PSPF Inc. Statement'!G45+'ATB Inc. Statement'!G45+'ASSB Inc. Statement'!G45+'HAA Inc. Statement'!G45+'WCA Inc. Statement'!G45</f>
        <v>275687.790125</v>
      </c>
      <c r="H45" s="182">
        <f>'ADB Inc. Statement'!H45+'ANT Inc Statement'!H45+'ACC Inc Statement'!H45+'PUC Inc. Statement'!H45+'AASPA Inc. Statement'!H45+'AFSC Inc. Statement'!H45+'PSPF Inc. Statement'!H45+'ATB Inc. Statement'!H45+'ASSB Inc. Statement'!H45+'HAA Inc. Statement'!H45+'WCA Inc. Statement'!H45</f>
        <v>5796.81592757</v>
      </c>
      <c r="I45" s="219">
        <f t="shared" ref="I45:I75" si="37">H45-G45</f>
        <v>-269890.97419743001</v>
      </c>
      <c r="J45" s="221">
        <f t="shared" si="29"/>
        <v>-0.97897325839152449</v>
      </c>
      <c r="K45" s="256"/>
      <c r="L45" s="182">
        <f>'ADB Inc. Statement'!L45+'ANT Inc Statement'!L45+'ACC Inc Statement'!L45+'PUC Inc. Statement'!L45+'AASPA Inc. Statement'!L45+'AFSC Inc. Statement'!L45+'PSPF Inc. Statement'!L45+'ATB Inc. Statement'!L45+'ASSB Inc. Statement'!L45+'HAA Inc. Statement'!L45+'WCA Inc. Statement'!L45</f>
        <v>258886.52</v>
      </c>
      <c r="M45" s="182">
        <f>'ADB Inc. Statement'!M45+'ANT Inc Statement'!M45+'ACC Inc Statement'!M45+'PUC Inc. Statement'!M45+'AASPA Inc. Statement'!M45+'AFSC Inc. Statement'!M45+'PSPF Inc. Statement'!M45+'ATB Inc. Statement'!M45+'ASSB Inc. Statement'!M45+'HAA Inc. Statement'!M45+'WCA Inc. Statement'!M45</f>
        <v>8064.6038306699993</v>
      </c>
      <c r="N45" s="219">
        <f t="shared" ref="N45:N75" si="38">M45-L45</f>
        <v>-250821.91616932998</v>
      </c>
      <c r="O45" s="222">
        <f t="shared" si="30"/>
        <v>-0.96884888471338715</v>
      </c>
      <c r="P45" s="256"/>
      <c r="Q45" s="182">
        <f>'ADB Inc. Statement'!Q45+'ANT Inc Statement'!Q45+'ACC Inc Statement'!Q45+'PUC Inc. Statement'!Q45+'AASPA Inc. Statement'!Q45+'AFSC Inc. Statement'!Q45+'PSPF Inc. Statement'!Q45+'ATB Inc. Statement'!Q45+'ASSB Inc. Statement'!Q45+'HAA Inc. Statement'!Q45+'WCA Inc. Statement'!Q45</f>
        <v>260605.22125</v>
      </c>
      <c r="R45" s="182">
        <f>'ADB Inc. Statement'!R45+'ANT Inc Statement'!R45+'ACC Inc Statement'!R45+'PUC Inc. Statement'!R45+'AASPA Inc. Statement'!R45+'AFSC Inc. Statement'!R45+'PSPF Inc. Statement'!R45+'ATB Inc. Statement'!R45+'ASSB Inc. Statement'!R45+'HAA Inc. Statement'!R45+'WCA Inc. Statement'!R45</f>
        <v>366981.31706326996</v>
      </c>
      <c r="S45" s="219">
        <f t="shared" ref="S45:S75" si="39">R45-Q45</f>
        <v>106376.09581326996</v>
      </c>
      <c r="T45" s="223">
        <f t="shared" si="31"/>
        <v>0.4081886590876197</v>
      </c>
      <c r="U45" s="256"/>
      <c r="V45" s="224">
        <f t="shared" si="32"/>
        <v>1032692.8215000001</v>
      </c>
      <c r="W45" s="219">
        <f t="shared" si="32"/>
        <v>399660.17425467994</v>
      </c>
      <c r="X45" s="219">
        <f t="shared" ref="X45:X75" si="40">W45-V45</f>
        <v>-633032.64724532014</v>
      </c>
      <c r="Y45" s="222">
        <f t="shared" si="33"/>
        <v>-0.61299220258530684</v>
      </c>
      <c r="Z45" s="257"/>
      <c r="AA45" s="182">
        <f>'ADB Inc. Statement'!AA45+'ANT Inc Statement'!AA45+'ACC Inc Statement'!AA45+'PUC Inc. Statement'!AA45+'AASPA Inc. Statement'!AA45+'AFSC Inc. Statement'!AA45+'PSPF Inc. Statement'!AA45+'ATB Inc. Statement'!AA45+'ASSB Inc. Statement'!AA45+'HAA Inc. Statement'!AA45+'WCA Inc. Statement'!AA45</f>
        <v>1390196.7</v>
      </c>
      <c r="AB45" s="219">
        <f t="shared" si="34"/>
        <v>990536.52574532002</v>
      </c>
      <c r="AC45" s="222">
        <f t="shared" si="35"/>
        <v>0.71251537695731837</v>
      </c>
      <c r="AD45" s="256"/>
      <c r="AE45" s="189"/>
    </row>
    <row r="46" spans="1:31" x14ac:dyDescent="0.3">
      <c r="A46" s="190" t="s">
        <v>127</v>
      </c>
      <c r="B46" s="182">
        <f>'ADB Inc. Statement'!B46+'ANT Inc Statement'!B46+'ACC Inc Statement'!B46+'PUC Inc. Statement'!B46+'AASPA Inc. Statement'!B46+'AFSC Inc. Statement'!B46+'PSPF Inc. Statement'!B46+'ATB Inc. Statement'!B46+'ASSB Inc. Statement'!B46+'HAA Inc. Statement'!B46+'WCA Inc. Statement'!B46</f>
        <v>327284.25</v>
      </c>
      <c r="C46" s="182">
        <f>'ADB Inc. Statement'!C46+'ANT Inc Statement'!C46+'ACC Inc Statement'!C46+'PUC Inc. Statement'!C46+'AASPA Inc. Statement'!C46+'AFSC Inc. Statement'!C46+'PSPF Inc. Statement'!C46+'ATB Inc. Statement'!C46+'ASSB Inc. Statement'!C46+'HAA Inc. Statement'!C46+'WCA Inc. Statement'!C46</f>
        <v>0</v>
      </c>
      <c r="D46" s="219">
        <f t="shared" si="36"/>
        <v>-327284.25</v>
      </c>
      <c r="E46" s="220">
        <f t="shared" si="28"/>
        <v>-1</v>
      </c>
      <c r="F46" s="256"/>
      <c r="G46" s="182">
        <f>'ADB Inc. Statement'!G46+'ANT Inc Statement'!G46+'ACC Inc Statement'!G46+'PUC Inc. Statement'!G46+'AASPA Inc. Statement'!G46+'AFSC Inc. Statement'!G46+'PSPF Inc. Statement'!G46+'ATB Inc. Statement'!G46+'ASSB Inc. Statement'!G46+'HAA Inc. Statement'!G46+'WCA Inc. Statement'!G46</f>
        <v>327284.25</v>
      </c>
      <c r="H46" s="182">
        <f>'ADB Inc. Statement'!H46+'ANT Inc Statement'!H46+'ACC Inc Statement'!H46+'PUC Inc. Statement'!H46+'AASPA Inc. Statement'!H46+'AFSC Inc. Statement'!H46+'PSPF Inc. Statement'!H46+'ATB Inc. Statement'!H46+'ASSB Inc. Statement'!H46+'HAA Inc. Statement'!H46+'WCA Inc. Statement'!H46</f>
        <v>0</v>
      </c>
      <c r="I46" s="219">
        <f t="shared" si="37"/>
        <v>-327284.25</v>
      </c>
      <c r="J46" s="221">
        <f t="shared" si="29"/>
        <v>-1</v>
      </c>
      <c r="K46" s="256"/>
      <c r="L46" s="182">
        <f>'ADB Inc. Statement'!L46+'ANT Inc Statement'!L46+'ACC Inc Statement'!L46+'PUC Inc. Statement'!L46+'AASPA Inc. Statement'!L46+'AFSC Inc. Statement'!L46+'PSPF Inc. Statement'!L46+'ATB Inc. Statement'!L46+'ASSB Inc. Statement'!L46+'HAA Inc. Statement'!L46+'WCA Inc. Statement'!L46</f>
        <v>327284.25</v>
      </c>
      <c r="M46" s="182">
        <f>'ADB Inc. Statement'!M46+'ANT Inc Statement'!M46+'ACC Inc Statement'!M46+'PUC Inc. Statement'!M46+'AASPA Inc. Statement'!M46+'AFSC Inc. Statement'!M46+'PSPF Inc. Statement'!M46+'ATB Inc. Statement'!M46+'ASSB Inc. Statement'!M46+'HAA Inc. Statement'!M46+'WCA Inc. Statement'!M46</f>
        <v>0</v>
      </c>
      <c r="N46" s="219">
        <f t="shared" si="38"/>
        <v>-327284.25</v>
      </c>
      <c r="O46" s="222">
        <f t="shared" si="30"/>
        <v>-1</v>
      </c>
      <c r="P46" s="256"/>
      <c r="Q46" s="182">
        <f>'ADB Inc. Statement'!Q46+'ANT Inc Statement'!Q46+'ACC Inc Statement'!Q46+'PUC Inc. Statement'!Q46+'AASPA Inc. Statement'!Q46+'AFSC Inc. Statement'!Q46+'PSPF Inc. Statement'!Q46+'ATB Inc. Statement'!Q46+'ASSB Inc. Statement'!Q46+'HAA Inc. Statement'!Q46+'WCA Inc. Statement'!Q46</f>
        <v>439692.25</v>
      </c>
      <c r="R46" s="182">
        <f>'ADB Inc. Statement'!R46+'ANT Inc Statement'!R46+'ACC Inc Statement'!R46+'PUC Inc. Statement'!R46+'AASPA Inc. Statement'!R46+'AFSC Inc. Statement'!R46+'PSPF Inc. Statement'!R46+'ATB Inc. Statement'!R46+'ASSB Inc. Statement'!R46+'HAA Inc. Statement'!R46+'WCA Inc. Statement'!R46</f>
        <v>217985.62</v>
      </c>
      <c r="S46" s="219">
        <f t="shared" si="39"/>
        <v>-221706.63</v>
      </c>
      <c r="T46" s="223">
        <f t="shared" si="31"/>
        <v>-0.50423138001636369</v>
      </c>
      <c r="U46" s="256"/>
      <c r="V46" s="224">
        <f t="shared" si="32"/>
        <v>1421545</v>
      </c>
      <c r="W46" s="219">
        <f t="shared" si="32"/>
        <v>217985.62</v>
      </c>
      <c r="X46" s="219">
        <f t="shared" si="40"/>
        <v>-1203559.3799999999</v>
      </c>
      <c r="Y46" s="222">
        <f t="shared" si="33"/>
        <v>-0.84665584276262795</v>
      </c>
      <c r="Z46" s="257"/>
      <c r="AA46" s="182">
        <f>'ADB Inc. Statement'!AA46+'ANT Inc Statement'!AA46+'ACC Inc Statement'!AA46+'PUC Inc. Statement'!AA46+'AASPA Inc. Statement'!AA46+'AFSC Inc. Statement'!AA46+'PSPF Inc. Statement'!AA46+'ATB Inc. Statement'!AA46+'ASSB Inc. Statement'!AA46+'HAA Inc. Statement'!AA46+'WCA Inc. Statement'!AA46</f>
        <v>1421545</v>
      </c>
      <c r="AB46" s="219">
        <f t="shared" si="34"/>
        <v>1203559.3799999999</v>
      </c>
      <c r="AC46" s="222">
        <f t="shared" si="35"/>
        <v>0.84665584276262795</v>
      </c>
      <c r="AD46" s="256"/>
      <c r="AE46" s="189"/>
    </row>
    <row r="47" spans="1:31" x14ac:dyDescent="0.3">
      <c r="A47" s="190" t="s">
        <v>86</v>
      </c>
      <c r="B47" s="182">
        <f>'ADB Inc. Statement'!B47+'ANT Inc Statement'!B47+'ACC Inc Statement'!B47+'PUC Inc. Statement'!B47+'AASPA Inc. Statement'!B47+'AFSC Inc. Statement'!B47+'PSPF Inc. Statement'!B47+'ATB Inc. Statement'!B47+'ASSB Inc. Statement'!B47+'HAA Inc. Statement'!B47+'WCA Inc. Statement'!B47</f>
        <v>33130.792400000006</v>
      </c>
      <c r="C47" s="182">
        <f>'ADB Inc. Statement'!C47+'ANT Inc Statement'!C47+'ACC Inc Statement'!C47+'PUC Inc. Statement'!C47+'AASPA Inc. Statement'!C47+'AFSC Inc. Statement'!C47+'PSPF Inc. Statement'!C47+'ATB Inc. Statement'!C47+'ASSB Inc. Statement'!C47+'HAA Inc. Statement'!C47+'WCA Inc. Statement'!C47</f>
        <v>13598.230138350002</v>
      </c>
      <c r="D47" s="219">
        <f t="shared" si="36"/>
        <v>-19532.562261650004</v>
      </c>
      <c r="E47" s="220">
        <f t="shared" si="28"/>
        <v>-0.58955916374792172</v>
      </c>
      <c r="F47" s="256"/>
      <c r="G47" s="182">
        <f>'ADB Inc. Statement'!G47+'ANT Inc Statement'!G47+'ACC Inc Statement'!G47+'PUC Inc. Statement'!G47+'AASPA Inc. Statement'!G47+'AFSC Inc. Statement'!G47+'PSPF Inc. Statement'!G47+'ATB Inc. Statement'!G47+'ASSB Inc. Statement'!G47+'HAA Inc. Statement'!G47+'WCA Inc. Statement'!G47</f>
        <v>33677.239400000006</v>
      </c>
      <c r="H47" s="182">
        <f>'ADB Inc. Statement'!H47+'ANT Inc Statement'!H47+'ACC Inc Statement'!H47+'PUC Inc. Statement'!H47+'AASPA Inc. Statement'!H47+'AFSC Inc. Statement'!H47+'PSPF Inc. Statement'!H47+'ATB Inc. Statement'!H47+'ASSB Inc. Statement'!H47+'HAA Inc. Statement'!H47+'WCA Inc. Statement'!H47</f>
        <v>14218.704857070001</v>
      </c>
      <c r="I47" s="219">
        <f t="shared" si="37"/>
        <v>-19458.534542930007</v>
      </c>
      <c r="J47" s="221">
        <f t="shared" si="29"/>
        <v>-0.57779482195117227</v>
      </c>
      <c r="K47" s="256"/>
      <c r="L47" s="182">
        <f>'ADB Inc. Statement'!L47+'ANT Inc Statement'!L47+'ACC Inc Statement'!L47+'PUC Inc. Statement'!L47+'AASPA Inc. Statement'!L47+'AFSC Inc. Statement'!L47+'PSPF Inc. Statement'!L47+'ATB Inc. Statement'!L47+'ASSB Inc. Statement'!L47+'HAA Inc. Statement'!L47+'WCA Inc. Statement'!L47</f>
        <v>18584.4964</v>
      </c>
      <c r="M47" s="182">
        <f>'ADB Inc. Statement'!M47+'ANT Inc Statement'!M47+'ACC Inc Statement'!M47+'PUC Inc. Statement'!M47+'AASPA Inc. Statement'!M47+'AFSC Inc. Statement'!M47+'PSPF Inc. Statement'!M47+'ATB Inc. Statement'!M47+'ASSB Inc. Statement'!M47+'HAA Inc. Statement'!M47+'WCA Inc. Statement'!M47</f>
        <v>17467.537109999997</v>
      </c>
      <c r="N47" s="219">
        <f t="shared" si="38"/>
        <v>-1116.9592900000025</v>
      </c>
      <c r="O47" s="222">
        <f t="shared" si="30"/>
        <v>-6.0101671089672494E-2</v>
      </c>
      <c r="P47" s="256"/>
      <c r="Q47" s="182">
        <f>'ADB Inc. Statement'!Q47+'ANT Inc Statement'!Q47+'ACC Inc Statement'!Q47+'PUC Inc. Statement'!Q47+'AASPA Inc. Statement'!Q47+'AFSC Inc. Statement'!Q47+'PSPF Inc. Statement'!Q47+'ATB Inc. Statement'!Q47+'ASSB Inc. Statement'!Q47+'HAA Inc. Statement'!Q47+'WCA Inc. Statement'!Q47</f>
        <v>19877.515650000001</v>
      </c>
      <c r="R47" s="182">
        <f>'ADB Inc. Statement'!R47+'ANT Inc Statement'!R47+'ACC Inc Statement'!R47+'PUC Inc. Statement'!R47+'AASPA Inc. Statement'!R47+'AFSC Inc. Statement'!R47+'PSPF Inc. Statement'!R47+'ATB Inc. Statement'!R47+'ASSB Inc. Statement'!R47+'HAA Inc. Statement'!R47+'WCA Inc. Statement'!R47</f>
        <v>21706.3471555</v>
      </c>
      <c r="S47" s="219">
        <f t="shared" si="39"/>
        <v>1828.8315054999985</v>
      </c>
      <c r="T47" s="223">
        <f t="shared" si="31"/>
        <v>9.2005034115015191E-2</v>
      </c>
      <c r="U47" s="256"/>
      <c r="V47" s="224">
        <f t="shared" si="32"/>
        <v>105270.04385000002</v>
      </c>
      <c r="W47" s="219">
        <f t="shared" si="32"/>
        <v>66990.81926091999</v>
      </c>
      <c r="X47" s="219">
        <f t="shared" si="40"/>
        <v>-38279.224589080026</v>
      </c>
      <c r="Y47" s="222">
        <f t="shared" si="33"/>
        <v>-0.3636288462425678</v>
      </c>
      <c r="Z47" s="257"/>
      <c r="AA47" s="182">
        <f>'ADB Inc. Statement'!AA47+'ANT Inc Statement'!AA47+'ACC Inc Statement'!AA47+'PUC Inc. Statement'!AA47+'AASPA Inc. Statement'!AA47+'AFSC Inc. Statement'!AA47+'PSPF Inc. Statement'!AA47+'ATB Inc. Statement'!AA47+'ASSB Inc. Statement'!AA47+'HAA Inc. Statement'!AA47+'WCA Inc. Statement'!AA47</f>
        <v>97769.955600000001</v>
      </c>
      <c r="AB47" s="219">
        <f t="shared" si="34"/>
        <v>30779.136339080011</v>
      </c>
      <c r="AC47" s="222">
        <f t="shared" si="35"/>
        <v>0.31481180645110174</v>
      </c>
      <c r="AD47" s="256"/>
      <c r="AE47" s="274"/>
    </row>
    <row r="48" spans="1:31" x14ac:dyDescent="0.3">
      <c r="A48" s="190" t="s">
        <v>87</v>
      </c>
      <c r="B48" s="182">
        <f>'ADB Inc. Statement'!B48+'ANT Inc Statement'!B48+'ACC Inc Statement'!B48+'PUC Inc. Statement'!B48+'AASPA Inc. Statement'!B48+'AFSC Inc. Statement'!B48+'PSPF Inc. Statement'!B48+'ATB Inc. Statement'!B48+'ASSB Inc. Statement'!B48+'HAA Inc. Statement'!B48+'WCA Inc. Statement'!B48</f>
        <v>76605.615449999998</v>
      </c>
      <c r="C48" s="182">
        <f>'ADB Inc. Statement'!C48+'ANT Inc Statement'!C48+'ACC Inc Statement'!C48+'PUC Inc. Statement'!C48+'AASPA Inc. Statement'!C48+'AFSC Inc. Statement'!C48+'PSPF Inc. Statement'!C48+'ATB Inc. Statement'!C48+'ASSB Inc. Statement'!C48+'HAA Inc. Statement'!C48+'WCA Inc. Statement'!C48</f>
        <v>25507.735450000004</v>
      </c>
      <c r="D48" s="219">
        <f t="shared" si="36"/>
        <v>-51097.87999999999</v>
      </c>
      <c r="E48" s="220">
        <f t="shared" si="28"/>
        <v>-0.66702525265071799</v>
      </c>
      <c r="F48" s="256"/>
      <c r="G48" s="182">
        <f>'ADB Inc. Statement'!G48+'ANT Inc Statement'!G48+'ACC Inc Statement'!G48+'PUC Inc. Statement'!G48+'AASPA Inc. Statement'!G48+'AFSC Inc. Statement'!G48+'PSPF Inc. Statement'!G48+'ATB Inc. Statement'!G48+'ASSB Inc. Statement'!G48+'HAA Inc. Statement'!G48+'WCA Inc. Statement'!G48</f>
        <v>32005.615450000001</v>
      </c>
      <c r="H48" s="182">
        <f>'ADB Inc. Statement'!H48+'ANT Inc Statement'!H48+'ACC Inc Statement'!H48+'PUC Inc. Statement'!H48+'AASPA Inc. Statement'!H48+'AFSC Inc. Statement'!H48+'PSPF Inc. Statement'!H48+'ATB Inc. Statement'!H48+'ASSB Inc. Statement'!H48+'HAA Inc. Statement'!H48+'WCA Inc. Statement'!H48</f>
        <v>31119.112600000004</v>
      </c>
      <c r="I48" s="219">
        <f t="shared" si="37"/>
        <v>-886.50284999999712</v>
      </c>
      <c r="J48" s="221">
        <f t="shared" si="29"/>
        <v>-2.7698353477530052E-2</v>
      </c>
      <c r="K48" s="256"/>
      <c r="L48" s="182">
        <f>'ADB Inc. Statement'!L48+'ANT Inc Statement'!L48+'ACC Inc Statement'!L48+'PUC Inc. Statement'!L48+'AASPA Inc. Statement'!L48+'AFSC Inc. Statement'!L48+'PSPF Inc. Statement'!L48+'ATB Inc. Statement'!L48+'ASSB Inc. Statement'!L48+'HAA Inc. Statement'!L48+'WCA Inc. Statement'!L48</f>
        <v>99076.21</v>
      </c>
      <c r="M48" s="182">
        <f>'ADB Inc. Statement'!M48+'ANT Inc Statement'!M48+'ACC Inc Statement'!M48+'PUC Inc. Statement'!M48+'AASPA Inc. Statement'!M48+'AFSC Inc. Statement'!M48+'PSPF Inc. Statement'!M48+'ATB Inc. Statement'!M48+'ASSB Inc. Statement'!M48+'HAA Inc. Statement'!M48+'WCA Inc. Statement'!M48</f>
        <v>79045.128974000007</v>
      </c>
      <c r="N48" s="219">
        <f t="shared" si="38"/>
        <v>-20031.081026</v>
      </c>
      <c r="O48" s="222">
        <f t="shared" si="30"/>
        <v>-0.20217851516524502</v>
      </c>
      <c r="P48" s="256"/>
      <c r="Q48" s="182">
        <f>'ADB Inc. Statement'!Q48+'ANT Inc Statement'!Q48+'ACC Inc Statement'!Q48+'PUC Inc. Statement'!Q48+'AASPA Inc. Statement'!Q48+'AFSC Inc. Statement'!Q48+'PSPF Inc. Statement'!Q48+'ATB Inc. Statement'!Q48+'ASSB Inc. Statement'!Q48+'HAA Inc. Statement'!Q48+'WCA Inc. Statement'!Q48</f>
        <v>53511.215450000003</v>
      </c>
      <c r="R48" s="182">
        <f>'ADB Inc. Statement'!R48+'ANT Inc Statement'!R48+'ACC Inc Statement'!R48+'PUC Inc. Statement'!R48+'AASPA Inc. Statement'!R48+'AFSC Inc. Statement'!R48+'PSPF Inc. Statement'!R48+'ATB Inc. Statement'!R48+'ASSB Inc. Statement'!R48+'HAA Inc. Statement'!R48+'WCA Inc. Statement'!R48</f>
        <v>39532.657150000006</v>
      </c>
      <c r="S48" s="219">
        <f t="shared" si="39"/>
        <v>-13978.558299999997</v>
      </c>
      <c r="T48" s="223">
        <f t="shared" si="31"/>
        <v>-0.26122670140171517</v>
      </c>
      <c r="U48" s="256"/>
      <c r="V48" s="224">
        <f t="shared" si="32"/>
        <v>261198.65635</v>
      </c>
      <c r="W48" s="219">
        <f t="shared" si="32"/>
        <v>175204.63417400004</v>
      </c>
      <c r="X48" s="219">
        <f t="shared" si="40"/>
        <v>-85994.022175999969</v>
      </c>
      <c r="Y48" s="222">
        <f t="shared" si="33"/>
        <v>-0.32922842474645053</v>
      </c>
      <c r="Z48" s="257"/>
      <c r="AA48" s="182">
        <f>'ADB Inc. Statement'!AA48+'ANT Inc Statement'!AA48+'ACC Inc Statement'!AA48+'PUC Inc. Statement'!AA48+'AASPA Inc. Statement'!AA48+'AFSC Inc. Statement'!AA48+'PSPF Inc. Statement'!AA48+'ATB Inc. Statement'!AA48+'ASSB Inc. Statement'!AA48+'HAA Inc. Statement'!AA48+'WCA Inc. Statement'!AA48</f>
        <v>221598.59000000003</v>
      </c>
      <c r="AB48" s="219">
        <f t="shared" si="34"/>
        <v>46393.95582599999</v>
      </c>
      <c r="AC48" s="222">
        <f t="shared" si="35"/>
        <v>0.20936033855630573</v>
      </c>
      <c r="AD48" s="256"/>
      <c r="AE48" s="189"/>
    </row>
    <row r="49" spans="1:31" x14ac:dyDescent="0.3">
      <c r="A49" s="190" t="s">
        <v>88</v>
      </c>
      <c r="B49" s="182">
        <f>'ADB Inc. Statement'!B49+'ANT Inc Statement'!B49+'ACC Inc Statement'!B49+'PUC Inc. Statement'!B49+'AASPA Inc. Statement'!B49+'AFSC Inc. Statement'!B49+'PSPF Inc. Statement'!B49+'ATB Inc. Statement'!B49+'ASSB Inc. Statement'!B49+'HAA Inc. Statement'!B49+'WCA Inc. Statement'!B49</f>
        <v>183640.05825</v>
      </c>
      <c r="C49" s="182">
        <f>'ADB Inc. Statement'!C49+'ANT Inc Statement'!C49+'ACC Inc Statement'!C49+'PUC Inc. Statement'!C49+'AASPA Inc. Statement'!C49+'AFSC Inc. Statement'!C49+'PSPF Inc. Statement'!C49+'ATB Inc. Statement'!C49+'ASSB Inc. Statement'!C49+'HAA Inc. Statement'!C49+'WCA Inc. Statement'!C49</f>
        <v>167112.74463865999</v>
      </c>
      <c r="D49" s="219">
        <f t="shared" si="36"/>
        <v>-16527.313611340011</v>
      </c>
      <c r="E49" s="220">
        <f t="shared" si="28"/>
        <v>-8.9998411941475245E-2</v>
      </c>
      <c r="F49" s="191"/>
      <c r="G49" s="182">
        <f>'ADB Inc. Statement'!G49+'ANT Inc Statement'!G49+'ACC Inc Statement'!G49+'PUC Inc. Statement'!G49+'AASPA Inc. Statement'!G49+'AFSC Inc. Statement'!G49+'PSPF Inc. Statement'!G49+'ATB Inc. Statement'!G49+'ASSB Inc. Statement'!G49+'HAA Inc. Statement'!G49+'WCA Inc. Statement'!G49</f>
        <v>183649.05825</v>
      </c>
      <c r="H49" s="182">
        <f>'ADB Inc. Statement'!H49+'ANT Inc Statement'!H49+'ACC Inc Statement'!H49+'PUC Inc. Statement'!H49+'AASPA Inc. Statement'!H49+'AFSC Inc. Statement'!H49+'PSPF Inc. Statement'!H49+'ATB Inc. Statement'!H49+'ASSB Inc. Statement'!H49+'HAA Inc. Statement'!H49+'WCA Inc. Statement'!H49</f>
        <v>160066.01966394999</v>
      </c>
      <c r="I49" s="219">
        <f t="shared" si="37"/>
        <v>-23583.03858605001</v>
      </c>
      <c r="J49" s="221">
        <f t="shared" si="29"/>
        <v>-0.12841361023450829</v>
      </c>
      <c r="K49" s="191"/>
      <c r="L49" s="182">
        <f>'ADB Inc. Statement'!L49+'ANT Inc Statement'!L49+'ACC Inc Statement'!L49+'PUC Inc. Statement'!L49+'AASPA Inc. Statement'!L49+'AFSC Inc. Statement'!L49+'PSPF Inc. Statement'!L49+'ATB Inc. Statement'!L49+'ASSB Inc. Statement'!L49+'HAA Inc. Statement'!L49+'WCA Inc. Statement'!L49</f>
        <v>183667.049</v>
      </c>
      <c r="M49" s="182">
        <f>'ADB Inc. Statement'!M49+'ANT Inc Statement'!M49+'ACC Inc Statement'!M49+'PUC Inc. Statement'!M49+'AASPA Inc. Statement'!M49+'AFSC Inc. Statement'!M49+'PSPF Inc. Statement'!M49+'ATB Inc. Statement'!M49+'ASSB Inc. Statement'!M49+'HAA Inc. Statement'!M49+'WCA Inc. Statement'!M49</f>
        <v>157679.91452911004</v>
      </c>
      <c r="N49" s="219">
        <f t="shared" si="38"/>
        <v>-25987.134470889956</v>
      </c>
      <c r="O49" s="222">
        <f t="shared" si="30"/>
        <v>-0.14149045575883323</v>
      </c>
      <c r="P49" s="191"/>
      <c r="Q49" s="182">
        <f>'ADB Inc. Statement'!Q49+'ANT Inc Statement'!Q49+'ACC Inc Statement'!Q49+'PUC Inc. Statement'!Q49+'AASPA Inc. Statement'!Q49+'AFSC Inc. Statement'!Q49+'PSPF Inc. Statement'!Q49+'ATB Inc. Statement'!Q49+'ASSB Inc. Statement'!Q49+'HAA Inc. Statement'!Q49+'WCA Inc. Statement'!Q49</f>
        <v>183666.01274999999</v>
      </c>
      <c r="R49" s="182">
        <f>'ADB Inc. Statement'!R49+'ANT Inc Statement'!R49+'ACC Inc Statement'!R49+'PUC Inc. Statement'!R49+'AASPA Inc. Statement'!R49+'AFSC Inc. Statement'!R49+'PSPF Inc. Statement'!R49+'ATB Inc. Statement'!R49+'ASSB Inc. Statement'!R49+'HAA Inc. Statement'!R49+'WCA Inc. Statement'!R49</f>
        <v>176980.66275927</v>
      </c>
      <c r="S49" s="219">
        <f t="shared" si="39"/>
        <v>-6685.3499907299993</v>
      </c>
      <c r="T49" s="223">
        <f t="shared" si="31"/>
        <v>-3.6399494335568078E-2</v>
      </c>
      <c r="U49" s="191"/>
      <c r="V49" s="224">
        <f t="shared" si="32"/>
        <v>734622.17825</v>
      </c>
      <c r="W49" s="219">
        <f t="shared" si="32"/>
        <v>661839.34159099008</v>
      </c>
      <c r="X49" s="219">
        <f t="shared" si="40"/>
        <v>-72782.836659009918</v>
      </c>
      <c r="Y49" s="222">
        <f t="shared" si="33"/>
        <v>-9.9075196494055634E-2</v>
      </c>
      <c r="Z49" s="188"/>
      <c r="AA49" s="182">
        <f>'ADB Inc. Statement'!AA49+'ANT Inc Statement'!AA49+'ACC Inc Statement'!AA49+'PUC Inc. Statement'!AA49+'AASPA Inc. Statement'!AA49+'AFSC Inc. Statement'!AA49+'PSPF Inc. Statement'!AA49+'ATB Inc. Statement'!AA49+'ASSB Inc. Statement'!AA49+'HAA Inc. Statement'!AA49+'WCA Inc. Statement'!AA49</f>
        <v>766808.15599999996</v>
      </c>
      <c r="AB49" s="219">
        <f t="shared" si="34"/>
        <v>104968.81440900988</v>
      </c>
      <c r="AC49" s="222">
        <f t="shared" si="35"/>
        <v>0.13689058154594</v>
      </c>
      <c r="AD49" s="191"/>
      <c r="AE49" s="274"/>
    </row>
    <row r="50" spans="1:31" x14ac:dyDescent="0.3">
      <c r="A50" s="190" t="s">
        <v>89</v>
      </c>
      <c r="B50" s="182">
        <f>'ADB Inc. Statement'!B50+'ANT Inc Statement'!B50+'ACC Inc Statement'!B50+'PUC Inc. Statement'!B50+'AASPA Inc. Statement'!B50+'AFSC Inc. Statement'!B50+'PSPF Inc. Statement'!B50+'ATB Inc. Statement'!B50+'ASSB Inc. Statement'!B50+'HAA Inc. Statement'!B50+'WCA Inc. Statement'!B50</f>
        <v>540864.95404999994</v>
      </c>
      <c r="C50" s="182">
        <f>'ADB Inc. Statement'!C50+'ANT Inc Statement'!C50+'ACC Inc Statement'!C50+'PUC Inc. Statement'!C50+'AASPA Inc. Statement'!C50+'AFSC Inc. Statement'!C50+'PSPF Inc. Statement'!C50+'ATB Inc. Statement'!C50+'ASSB Inc. Statement'!C50+'HAA Inc. Statement'!C50+'WCA Inc. Statement'!C50</f>
        <v>325480.07260000001</v>
      </c>
      <c r="D50" s="219">
        <f t="shared" si="36"/>
        <v>-215384.88144999993</v>
      </c>
      <c r="E50" s="220">
        <f t="shared" si="28"/>
        <v>-0.39822303115999047</v>
      </c>
      <c r="F50" s="191"/>
      <c r="G50" s="182">
        <f>'ADB Inc. Statement'!G50+'ANT Inc Statement'!G50+'ACC Inc Statement'!G50+'PUC Inc. Statement'!G50+'AASPA Inc. Statement'!G50+'AFSC Inc. Statement'!G50+'PSPF Inc. Statement'!G50+'ATB Inc. Statement'!G50+'ASSB Inc. Statement'!G50+'HAA Inc. Statement'!G50+'WCA Inc. Statement'!G50</f>
        <v>429102.51405</v>
      </c>
      <c r="H50" s="182">
        <f>'ADB Inc. Statement'!H50+'ANT Inc Statement'!H50+'ACC Inc Statement'!H50+'PUC Inc. Statement'!H50+'AASPA Inc. Statement'!H50+'AFSC Inc. Statement'!H50+'PSPF Inc. Statement'!H50+'ATB Inc. Statement'!H50+'ASSB Inc. Statement'!H50+'HAA Inc. Statement'!H50+'WCA Inc. Statement'!H50</f>
        <v>229061.53661307998</v>
      </c>
      <c r="I50" s="219">
        <f t="shared" si="37"/>
        <v>-200040.97743692002</v>
      </c>
      <c r="J50" s="221">
        <f t="shared" si="29"/>
        <v>-0.46618458500481025</v>
      </c>
      <c r="K50" s="191"/>
      <c r="L50" s="182">
        <f>'ADB Inc. Statement'!L50+'ANT Inc Statement'!L50+'ACC Inc Statement'!L50+'PUC Inc. Statement'!L50+'AASPA Inc. Statement'!L50+'AFSC Inc. Statement'!L50+'PSPF Inc. Statement'!L50+'ATB Inc. Statement'!L50+'ASSB Inc. Statement'!L50+'HAA Inc. Statement'!L50+'WCA Inc. Statement'!L50</f>
        <v>501441.27</v>
      </c>
      <c r="M50" s="182">
        <f>'ADB Inc. Statement'!M50+'ANT Inc Statement'!M50+'ACC Inc Statement'!M50+'PUC Inc. Statement'!M50+'AASPA Inc. Statement'!M50+'AFSC Inc. Statement'!M50+'PSPF Inc. Statement'!M50+'ATB Inc. Statement'!M50+'ASSB Inc. Statement'!M50+'HAA Inc. Statement'!M50+'WCA Inc. Statement'!M50</f>
        <v>711656.77999999991</v>
      </c>
      <c r="N50" s="219">
        <f t="shared" si="38"/>
        <v>210215.50999999989</v>
      </c>
      <c r="O50" s="222">
        <f t="shared" si="30"/>
        <v>0.41922259410359242</v>
      </c>
      <c r="P50" s="191"/>
      <c r="Q50" s="182">
        <f>'ADB Inc. Statement'!Q50+'ANT Inc Statement'!Q50+'ACC Inc Statement'!Q50+'PUC Inc. Statement'!Q50+'AASPA Inc. Statement'!Q50+'AFSC Inc. Statement'!Q50+'PSPF Inc. Statement'!Q50+'ATB Inc. Statement'!Q50+'ASSB Inc. Statement'!Q50+'HAA Inc. Statement'!Q50+'WCA Inc. Statement'!Q50</f>
        <v>554109.96600000001</v>
      </c>
      <c r="R50" s="182">
        <f>'ADB Inc. Statement'!R50+'ANT Inc Statement'!R50+'ACC Inc Statement'!R50+'PUC Inc. Statement'!R50+'AASPA Inc. Statement'!R50+'AFSC Inc. Statement'!R50+'PSPF Inc. Statement'!R50+'ATB Inc. Statement'!R50+'ASSB Inc. Statement'!R50+'HAA Inc. Statement'!R50+'WCA Inc. Statement'!R50</f>
        <v>506065.93420000002</v>
      </c>
      <c r="S50" s="219">
        <f t="shared" si="39"/>
        <v>-48044.031799999997</v>
      </c>
      <c r="T50" s="223">
        <f t="shared" si="31"/>
        <v>-8.670486861447281E-2</v>
      </c>
      <c r="U50" s="191"/>
      <c r="V50" s="224">
        <f t="shared" si="32"/>
        <v>2025518.7041</v>
      </c>
      <c r="W50" s="219">
        <f t="shared" si="32"/>
        <v>1772264.3234130801</v>
      </c>
      <c r="X50" s="219">
        <f t="shared" si="40"/>
        <v>-253254.3806869199</v>
      </c>
      <c r="Y50" s="222">
        <f t="shared" si="33"/>
        <v>-0.12503186476347478</v>
      </c>
      <c r="Z50" s="188"/>
      <c r="AA50" s="182">
        <f>'ADB Inc. Statement'!AA50+'ANT Inc Statement'!AA50+'ACC Inc Statement'!AA50+'PUC Inc. Statement'!AA50+'AASPA Inc. Statement'!AA50+'AFSC Inc. Statement'!AA50+'PSPF Inc. Statement'!AA50+'ATB Inc. Statement'!AA50+'ASSB Inc. Statement'!AA50+'HAA Inc. Statement'!AA50+'WCA Inc. Statement'!AA50</f>
        <v>1959718.696</v>
      </c>
      <c r="AB50" s="219">
        <f t="shared" si="34"/>
        <v>187454.37258691993</v>
      </c>
      <c r="AC50" s="222">
        <f t="shared" si="35"/>
        <v>9.5653714469089254E-2</v>
      </c>
      <c r="AD50" s="191"/>
      <c r="AE50" s="274"/>
    </row>
    <row r="51" spans="1:31" x14ac:dyDescent="0.3">
      <c r="A51" s="190" t="s">
        <v>113</v>
      </c>
      <c r="B51" s="182">
        <f>'ADB Inc. Statement'!B51+'ANT Inc Statement'!B51+'ACC Inc Statement'!B51+'PUC Inc. Statement'!B51+'AASPA Inc. Statement'!B51+'AFSC Inc. Statement'!B51+'PSPF Inc. Statement'!B51+'ATB Inc. Statement'!B51+'ASSB Inc. Statement'!B51+'HAA Inc. Statement'!B51+'WCA Inc. Statement'!B51</f>
        <v>107560.77</v>
      </c>
      <c r="C51" s="182">
        <f>'ADB Inc. Statement'!C51+'ANT Inc Statement'!C51+'ACC Inc Statement'!C51+'PUC Inc. Statement'!C51+'AASPA Inc. Statement'!C51+'AFSC Inc. Statement'!C51+'PSPF Inc. Statement'!C51+'ATB Inc. Statement'!C51+'ASSB Inc. Statement'!C51+'HAA Inc. Statement'!C51+'WCA Inc. Statement'!C51</f>
        <v>70693.489999999991</v>
      </c>
      <c r="D51" s="219">
        <f t="shared" si="36"/>
        <v>-36867.280000000013</v>
      </c>
      <c r="E51" s="220">
        <f t="shared" si="28"/>
        <v>-0.34275768014676739</v>
      </c>
      <c r="F51" s="191"/>
      <c r="G51" s="182">
        <f>'ADB Inc. Statement'!G51+'ANT Inc Statement'!G51+'ACC Inc Statement'!G51+'PUC Inc. Statement'!G51+'AASPA Inc. Statement'!G51+'AFSC Inc. Statement'!G51+'PSPF Inc. Statement'!G51+'ATB Inc. Statement'!G51+'ASSB Inc. Statement'!G51+'HAA Inc. Statement'!G51+'WCA Inc. Statement'!G51</f>
        <v>104560.77</v>
      </c>
      <c r="H51" s="182">
        <f>'ADB Inc. Statement'!H51+'ANT Inc Statement'!H51+'ACC Inc Statement'!H51+'PUC Inc. Statement'!H51+'AASPA Inc. Statement'!H51+'AFSC Inc. Statement'!H51+'PSPF Inc. Statement'!H51+'ATB Inc. Statement'!H51+'ASSB Inc. Statement'!H51+'HAA Inc. Statement'!H51+'WCA Inc. Statement'!H51</f>
        <v>118169.35</v>
      </c>
      <c r="I51" s="219">
        <f t="shared" si="37"/>
        <v>13608.580000000002</v>
      </c>
      <c r="J51" s="221">
        <f t="shared" si="29"/>
        <v>0.13014995968373225</v>
      </c>
      <c r="K51" s="191"/>
      <c r="L51" s="182">
        <f>'ADB Inc. Statement'!L51+'ANT Inc Statement'!L51+'ACC Inc Statement'!L51+'PUC Inc. Statement'!L51+'AASPA Inc. Statement'!L51+'AFSC Inc. Statement'!L51+'PSPF Inc. Statement'!L51+'ATB Inc. Statement'!L51+'ASSB Inc. Statement'!L51+'HAA Inc. Statement'!L51+'WCA Inc. Statement'!L51</f>
        <v>107560.77</v>
      </c>
      <c r="M51" s="182">
        <f>'ADB Inc. Statement'!M51+'ANT Inc Statement'!M51+'ACC Inc Statement'!M51+'PUC Inc. Statement'!M51+'AASPA Inc. Statement'!M51+'AFSC Inc. Statement'!M51+'PSPF Inc. Statement'!M51+'ATB Inc. Statement'!M51+'ASSB Inc. Statement'!M51+'HAA Inc. Statement'!M51+'WCA Inc. Statement'!M51</f>
        <v>81238</v>
      </c>
      <c r="N51" s="219">
        <f t="shared" si="38"/>
        <v>-26322.770000000004</v>
      </c>
      <c r="O51" s="222">
        <f t="shared" si="30"/>
        <v>-0.24472463333983202</v>
      </c>
      <c r="P51" s="191"/>
      <c r="Q51" s="182">
        <f>'ADB Inc. Statement'!Q51+'ANT Inc Statement'!Q51+'ACC Inc Statement'!Q51+'PUC Inc. Statement'!Q51+'AASPA Inc. Statement'!Q51+'AFSC Inc. Statement'!Q51+'PSPF Inc. Statement'!Q51+'ATB Inc. Statement'!Q51+'ASSB Inc. Statement'!Q51+'HAA Inc. Statement'!Q51+'WCA Inc. Statement'!Q51</f>
        <v>201368</v>
      </c>
      <c r="R51" s="182">
        <f>'ADB Inc. Statement'!R51+'ANT Inc Statement'!R51+'ACC Inc Statement'!R51+'PUC Inc. Statement'!R51+'AASPA Inc. Statement'!R51+'AFSC Inc. Statement'!R51+'PSPF Inc. Statement'!R51+'ATB Inc. Statement'!R51+'ASSB Inc. Statement'!R51+'HAA Inc. Statement'!R51+'WCA Inc. Statement'!R51</f>
        <v>5624</v>
      </c>
      <c r="S51" s="219">
        <f t="shared" si="39"/>
        <v>-195744</v>
      </c>
      <c r="T51" s="223">
        <f t="shared" si="31"/>
        <v>-0.97207103412657425</v>
      </c>
      <c r="U51" s="191"/>
      <c r="V51" s="224"/>
      <c r="W51" s="219"/>
      <c r="X51" s="219">
        <f t="shared" si="40"/>
        <v>0</v>
      </c>
      <c r="Y51" s="222" t="str">
        <f t="shared" si="33"/>
        <v>-</v>
      </c>
      <c r="Z51" s="188"/>
      <c r="AA51" s="182">
        <f>'ADB Inc. Statement'!AA51+'ANT Inc Statement'!AA51+'ACC Inc Statement'!AA51+'PUC Inc. Statement'!AA51+'AASPA Inc. Statement'!AA51+'AFSC Inc. Statement'!AA51+'PSPF Inc. Statement'!AA51+'ATB Inc. Statement'!AA51+'ASSB Inc. Statement'!AA51+'HAA Inc. Statement'!AA51+'WCA Inc. Statement'!AA51</f>
        <v>418244</v>
      </c>
      <c r="AB51" s="219">
        <f t="shared" si="34"/>
        <v>418244</v>
      </c>
      <c r="AC51" s="222">
        <f t="shared" si="35"/>
        <v>1</v>
      </c>
      <c r="AD51" s="191"/>
      <c r="AE51" s="274"/>
    </row>
    <row r="52" spans="1:31" x14ac:dyDescent="0.3">
      <c r="A52" s="190" t="s">
        <v>126</v>
      </c>
      <c r="B52" s="182">
        <f>'ADB Inc. Statement'!B52+'ANT Inc Statement'!B52+'ACC Inc Statement'!B52+'PUC Inc. Statement'!B52+'AASPA Inc. Statement'!B52+'AFSC Inc. Statement'!B52+'PSPF Inc. Statement'!B52+'ATB Inc. Statement'!B52+'ASSB Inc. Statement'!B52+'HAA Inc. Statement'!B52+'WCA Inc. Statement'!B52</f>
        <v>26785.75</v>
      </c>
      <c r="C52" s="182">
        <f>'ADB Inc. Statement'!C52+'ANT Inc Statement'!C52+'ACC Inc Statement'!C52+'PUC Inc. Statement'!C52+'AASPA Inc. Statement'!C52+'AFSC Inc. Statement'!C52+'PSPF Inc. Statement'!C52+'ATB Inc. Statement'!C52+'ASSB Inc. Statement'!C52+'HAA Inc. Statement'!C52+'WCA Inc. Statement'!C52</f>
        <v>55407.883389990006</v>
      </c>
      <c r="D52" s="219">
        <f t="shared" si="36"/>
        <v>28622.133389990006</v>
      </c>
      <c r="E52" s="220">
        <f t="shared" si="28"/>
        <v>1.0685582218153311</v>
      </c>
      <c r="F52" s="256"/>
      <c r="G52" s="182">
        <f>'ADB Inc. Statement'!G52+'ANT Inc Statement'!G52+'ACC Inc Statement'!G52+'PUC Inc. Statement'!G52+'AASPA Inc. Statement'!G52+'AFSC Inc. Statement'!G52+'PSPF Inc. Statement'!G52+'ATB Inc. Statement'!G52+'ASSB Inc. Statement'!G52+'HAA Inc. Statement'!G52+'WCA Inc. Statement'!G52</f>
        <v>26785.75</v>
      </c>
      <c r="H52" s="182">
        <f>'ADB Inc. Statement'!H52+'ANT Inc Statement'!H52+'ACC Inc Statement'!H52+'PUC Inc. Statement'!H52+'AASPA Inc. Statement'!H52+'AFSC Inc. Statement'!H52+'PSPF Inc. Statement'!H52+'ATB Inc. Statement'!H52+'ASSB Inc. Statement'!H52+'HAA Inc. Statement'!H52+'WCA Inc. Statement'!H52</f>
        <v>49862.182780789997</v>
      </c>
      <c r="I52" s="219">
        <f t="shared" si="37"/>
        <v>23076.432780789997</v>
      </c>
      <c r="J52" s="221">
        <f t="shared" si="29"/>
        <v>0.86151900845748197</v>
      </c>
      <c r="K52" s="256"/>
      <c r="L52" s="182">
        <f>'ADB Inc. Statement'!L52+'ANT Inc Statement'!L52+'ACC Inc Statement'!L52+'PUC Inc. Statement'!L52+'AASPA Inc. Statement'!L52+'AFSC Inc. Statement'!L52+'PSPF Inc. Statement'!L52+'ATB Inc. Statement'!L52+'ASSB Inc. Statement'!L52+'HAA Inc. Statement'!L52+'WCA Inc. Statement'!L52</f>
        <v>26786</v>
      </c>
      <c r="M52" s="182">
        <f>'ADB Inc. Statement'!M52+'ANT Inc Statement'!M52+'ACC Inc Statement'!M52+'PUC Inc. Statement'!M52+'AASPA Inc. Statement'!M52+'AFSC Inc. Statement'!M52+'PSPF Inc. Statement'!M52+'ATB Inc. Statement'!M52+'ASSB Inc. Statement'!M52+'HAA Inc. Statement'!M52+'WCA Inc. Statement'!M52</f>
        <v>59820.149999999994</v>
      </c>
      <c r="N52" s="219">
        <f t="shared" si="38"/>
        <v>33034.149999999994</v>
      </c>
      <c r="O52" s="222">
        <f t="shared" si="30"/>
        <v>1.2332617785410287</v>
      </c>
      <c r="P52" s="256"/>
      <c r="Q52" s="182">
        <f>'ADB Inc. Statement'!Q52+'ANT Inc Statement'!Q52+'ACC Inc Statement'!Q52+'PUC Inc. Statement'!Q52+'AASPA Inc. Statement'!Q52+'AFSC Inc. Statement'!Q52+'PSPF Inc. Statement'!Q52+'ATB Inc. Statement'!Q52+'ASSB Inc. Statement'!Q52+'HAA Inc. Statement'!Q52+'WCA Inc. Statement'!Q52</f>
        <v>131488.25019799999</v>
      </c>
      <c r="R52" s="182">
        <f>'ADB Inc. Statement'!R52+'ANT Inc Statement'!R52+'ACC Inc Statement'!R52+'PUC Inc. Statement'!R52+'AASPA Inc. Statement'!R52+'AFSC Inc. Statement'!R52+'PSPF Inc. Statement'!R52+'ATB Inc. Statement'!R52+'ASSB Inc. Statement'!R52+'HAA Inc. Statement'!R52+'WCA Inc. Statement'!R52</f>
        <v>206956.68537606002</v>
      </c>
      <c r="S52" s="219">
        <f t="shared" si="39"/>
        <v>75468.435178060026</v>
      </c>
      <c r="T52" s="223">
        <f t="shared" si="31"/>
        <v>0.57395573417713597</v>
      </c>
      <c r="U52" s="256"/>
      <c r="V52" s="224">
        <f t="shared" si="32"/>
        <v>211845.75019799999</v>
      </c>
      <c r="W52" s="219">
        <f t="shared" si="32"/>
        <v>372046.90154684003</v>
      </c>
      <c r="X52" s="219">
        <f t="shared" si="40"/>
        <v>160201.15134884004</v>
      </c>
      <c r="Y52" s="222">
        <f t="shared" si="33"/>
        <v>0.75621602604304905</v>
      </c>
      <c r="Z52" s="257"/>
      <c r="AA52" s="182">
        <f>'ADB Inc. Statement'!AA52+'ANT Inc Statement'!AA52+'ACC Inc Statement'!AA52+'PUC Inc. Statement'!AA52+'AASPA Inc. Statement'!AA52+'AFSC Inc. Statement'!AA52+'PSPF Inc. Statement'!AA52+'ATB Inc. Statement'!AA52+'ASSB Inc. Statement'!AA52+'HAA Inc. Statement'!AA52+'WCA Inc. Statement'!AA52</f>
        <v>2211844.7501980001</v>
      </c>
      <c r="AB52" s="219">
        <f t="shared" si="34"/>
        <v>1839797.84865116</v>
      </c>
      <c r="AC52" s="222">
        <f t="shared" si="35"/>
        <v>0.83179339259071639</v>
      </c>
      <c r="AD52" s="256"/>
      <c r="AE52" s="189"/>
    </row>
    <row r="53" spans="1:31" x14ac:dyDescent="0.3">
      <c r="A53" s="190" t="s">
        <v>82</v>
      </c>
      <c r="B53" s="182">
        <f>'ADB Inc. Statement'!B53+'ANT Inc Statement'!B53+'ACC Inc Statement'!B53+'PUC Inc. Statement'!B53+'AASPA Inc. Statement'!B53+'AFSC Inc. Statement'!B53+'PSPF Inc. Statement'!B53+'ATB Inc. Statement'!B53+'ASSB Inc. Statement'!B53+'HAA Inc. Statement'!B53+'WCA Inc. Statement'!B53</f>
        <v>237585.01694999999</v>
      </c>
      <c r="C53" s="182">
        <f>'ADB Inc. Statement'!C53+'ANT Inc Statement'!C53+'ACC Inc Statement'!C53+'PUC Inc. Statement'!C53+'AASPA Inc. Statement'!C53+'AFSC Inc. Statement'!C53+'PSPF Inc. Statement'!C53+'ATB Inc. Statement'!C53+'ASSB Inc. Statement'!C53+'HAA Inc. Statement'!C53+'WCA Inc. Statement'!C53</f>
        <v>208756.78237499998</v>
      </c>
      <c r="D53" s="219">
        <f t="shared" si="36"/>
        <v>-28828.234575000009</v>
      </c>
      <c r="E53" s="220">
        <f t="shared" si="28"/>
        <v>-0.1213386052078652</v>
      </c>
      <c r="F53" s="256"/>
      <c r="G53" s="182">
        <f>'ADB Inc. Statement'!G53+'ANT Inc Statement'!G53+'ACC Inc Statement'!G53+'PUC Inc. Statement'!G53+'AASPA Inc. Statement'!G53+'AFSC Inc. Statement'!G53+'PSPF Inc. Statement'!G53+'ATB Inc. Statement'!G53+'ASSB Inc. Statement'!G53+'HAA Inc. Statement'!G53+'WCA Inc. Statement'!G53</f>
        <v>237585.01694999999</v>
      </c>
      <c r="H53" s="182">
        <f>'ADB Inc. Statement'!H53+'ANT Inc Statement'!H53+'ACC Inc Statement'!H53+'PUC Inc. Statement'!H53+'AASPA Inc. Statement'!H53+'AFSC Inc. Statement'!H53+'PSPF Inc. Statement'!H53+'ATB Inc. Statement'!H53+'ASSB Inc. Statement'!H53+'HAA Inc. Statement'!H53+'WCA Inc. Statement'!H53</f>
        <v>199936.63237499999</v>
      </c>
      <c r="I53" s="219">
        <f t="shared" si="37"/>
        <v>-37648.384575000004</v>
      </c>
      <c r="J53" s="221">
        <f t="shared" si="29"/>
        <v>-0.15846278969234473</v>
      </c>
      <c r="K53" s="256"/>
      <c r="L53" s="182">
        <f>'ADB Inc. Statement'!L53+'ANT Inc Statement'!L53+'ACC Inc Statement'!L53+'PUC Inc. Statement'!L53+'AASPA Inc. Statement'!L53+'AFSC Inc. Statement'!L53+'PSPF Inc. Statement'!L53+'ATB Inc. Statement'!L53+'ASSB Inc. Statement'!L53+'HAA Inc. Statement'!L53+'WCA Inc. Statement'!L53</f>
        <v>237585</v>
      </c>
      <c r="M53" s="182">
        <f>'ADB Inc. Statement'!M53+'ANT Inc Statement'!M53+'ACC Inc Statement'!M53+'PUC Inc. Statement'!M53+'AASPA Inc. Statement'!M53+'AFSC Inc. Statement'!M53+'PSPF Inc. Statement'!M53+'ATB Inc. Statement'!M53+'ASSB Inc. Statement'!M53+'HAA Inc. Statement'!M53+'WCA Inc. Statement'!M53</f>
        <v>209075.16</v>
      </c>
      <c r="N53" s="219">
        <f t="shared" si="38"/>
        <v>-28509.839999999997</v>
      </c>
      <c r="O53" s="222">
        <f t="shared" si="30"/>
        <v>-0.11999848475282529</v>
      </c>
      <c r="P53" s="256"/>
      <c r="Q53" s="182">
        <f>'ADB Inc. Statement'!Q53+'ANT Inc Statement'!Q53+'ACC Inc Statement'!Q53+'PUC Inc. Statement'!Q53+'AASPA Inc. Statement'!Q53+'AFSC Inc. Statement'!Q53+'PSPF Inc. Statement'!Q53+'ATB Inc. Statement'!Q53+'ASSB Inc. Statement'!Q53+'HAA Inc. Statement'!Q53+'WCA Inc. Statement'!Q53</f>
        <v>237585</v>
      </c>
      <c r="R53" s="182">
        <f>'ADB Inc. Statement'!R53+'ANT Inc Statement'!R53+'ACC Inc Statement'!R53+'PUC Inc. Statement'!R53+'AASPA Inc. Statement'!R53+'AFSC Inc. Statement'!R53+'PSPF Inc. Statement'!R53+'ATB Inc. Statement'!R53+'ASSB Inc. Statement'!R53+'HAA Inc. Statement'!R53+'WCA Inc. Statement'!R53</f>
        <v>220316.45</v>
      </c>
      <c r="S53" s="219">
        <f t="shared" si="39"/>
        <v>-17268.549999999988</v>
      </c>
      <c r="T53" s="223">
        <f t="shared" si="31"/>
        <v>-7.2683671107182643E-2</v>
      </c>
      <c r="U53" s="256"/>
      <c r="V53" s="224">
        <f t="shared" si="32"/>
        <v>950340.03389999992</v>
      </c>
      <c r="W53" s="219">
        <f t="shared" si="32"/>
        <v>838085.0247500001</v>
      </c>
      <c r="X53" s="219">
        <f t="shared" si="40"/>
        <v>-112255.00914999982</v>
      </c>
      <c r="Y53" s="222">
        <f t="shared" si="33"/>
        <v>-0.11812088846697152</v>
      </c>
      <c r="Z53" s="257"/>
      <c r="AA53" s="182">
        <f>'ADB Inc. Statement'!AA53+'ANT Inc Statement'!AA53+'ACC Inc Statement'!AA53+'PUC Inc. Statement'!AA53+'AASPA Inc. Statement'!AA53+'AFSC Inc. Statement'!AA53+'PSPF Inc. Statement'!AA53+'ATB Inc. Statement'!AA53+'ASSB Inc. Statement'!AA53+'HAA Inc. Statement'!AA53+'WCA Inc. Statement'!AA53</f>
        <v>1084740</v>
      </c>
      <c r="AB53" s="219">
        <f t="shared" si="34"/>
        <v>246654.9752499999</v>
      </c>
      <c r="AC53" s="222">
        <f t="shared" si="35"/>
        <v>0.22738626329811742</v>
      </c>
      <c r="AD53" s="256"/>
      <c r="AE53" s="193"/>
    </row>
    <row r="54" spans="1:31" x14ac:dyDescent="0.3">
      <c r="A54" s="190" t="s">
        <v>125</v>
      </c>
      <c r="B54" s="182">
        <f>'ADB Inc. Statement'!B54+'ANT Inc Statement'!B54+'ACC Inc Statement'!B54+'PUC Inc. Statement'!B54+'AASPA Inc. Statement'!B54+'AFSC Inc. Statement'!B54+'PSPF Inc. Statement'!B54+'ATB Inc. Statement'!B54+'ASSB Inc. Statement'!B54+'HAA Inc. Statement'!B54+'WCA Inc. Statement'!B54</f>
        <v>0</v>
      </c>
      <c r="C54" s="182">
        <f>'ADB Inc. Statement'!C54+'ANT Inc Statement'!C54+'ACC Inc Statement'!C54+'PUC Inc. Statement'!C54+'AASPA Inc. Statement'!C54+'AFSC Inc. Statement'!C54+'PSPF Inc. Statement'!C54+'ATB Inc. Statement'!C54+'ASSB Inc. Statement'!C54+'HAA Inc. Statement'!C54+'WCA Inc. Statement'!C54</f>
        <v>0</v>
      </c>
      <c r="D54" s="219">
        <f t="shared" si="36"/>
        <v>0</v>
      </c>
      <c r="E54" s="220" t="str">
        <f t="shared" si="28"/>
        <v>-</v>
      </c>
      <c r="F54" s="256"/>
      <c r="G54" s="182">
        <f>'ADB Inc. Statement'!G54+'ANT Inc Statement'!G54+'ACC Inc Statement'!G54+'PUC Inc. Statement'!G54+'AASPA Inc. Statement'!G54+'AFSC Inc. Statement'!G54+'PSPF Inc. Statement'!G54+'ATB Inc. Statement'!G54+'ASSB Inc. Statement'!G54+'HAA Inc. Statement'!G54+'WCA Inc. Statement'!G54</f>
        <v>0</v>
      </c>
      <c r="H54" s="182">
        <f>'ADB Inc. Statement'!H54+'ANT Inc Statement'!H54+'ACC Inc Statement'!H54+'PUC Inc. Statement'!H54+'AASPA Inc. Statement'!H54+'AFSC Inc. Statement'!H54+'PSPF Inc. Statement'!H54+'ATB Inc. Statement'!H54+'ASSB Inc. Statement'!H54+'HAA Inc. Statement'!H54+'WCA Inc. Statement'!H54</f>
        <v>0</v>
      </c>
      <c r="I54" s="219">
        <f t="shared" si="37"/>
        <v>0</v>
      </c>
      <c r="J54" s="221" t="str">
        <f t="shared" si="29"/>
        <v>-</v>
      </c>
      <c r="K54" s="256"/>
      <c r="L54" s="182">
        <f>'ADB Inc. Statement'!L54+'ANT Inc Statement'!L54+'ACC Inc Statement'!L54+'PUC Inc. Statement'!L54+'AASPA Inc. Statement'!L54+'AFSC Inc. Statement'!L54+'PSPF Inc. Statement'!L54+'ATB Inc. Statement'!L54+'ASSB Inc. Statement'!L54+'HAA Inc. Statement'!L54+'WCA Inc. Statement'!L54</f>
        <v>0</v>
      </c>
      <c r="M54" s="182">
        <f>'ADB Inc. Statement'!M54+'ANT Inc Statement'!M54+'ACC Inc Statement'!M54+'PUC Inc. Statement'!M54+'AASPA Inc. Statement'!M54+'AFSC Inc. Statement'!M54+'PSPF Inc. Statement'!M54+'ATB Inc. Statement'!M54+'ASSB Inc. Statement'!M54+'HAA Inc. Statement'!M54+'WCA Inc. Statement'!M54</f>
        <v>0</v>
      </c>
      <c r="N54" s="219">
        <f t="shared" si="38"/>
        <v>0</v>
      </c>
      <c r="O54" s="222" t="str">
        <f t="shared" si="30"/>
        <v>-</v>
      </c>
      <c r="P54" s="256"/>
      <c r="Q54" s="182">
        <f>'ADB Inc. Statement'!Q54+'ANT Inc Statement'!Q54+'ACC Inc Statement'!Q54+'PUC Inc. Statement'!Q54+'AASPA Inc. Statement'!Q54+'AFSC Inc. Statement'!Q54+'PSPF Inc. Statement'!Q54+'ATB Inc. Statement'!Q54+'ASSB Inc. Statement'!Q54+'HAA Inc. Statement'!Q54+'WCA Inc. Statement'!Q54</f>
        <v>0</v>
      </c>
      <c r="R54" s="182">
        <f>'ADB Inc. Statement'!R54+'ANT Inc Statement'!R54+'ACC Inc Statement'!R54+'PUC Inc. Statement'!R54+'AASPA Inc. Statement'!R54+'AFSC Inc. Statement'!R54+'PSPF Inc. Statement'!R54+'ATB Inc. Statement'!R54+'ASSB Inc. Statement'!R54+'HAA Inc. Statement'!R54+'WCA Inc. Statement'!R54</f>
        <v>0</v>
      </c>
      <c r="S54" s="219">
        <f t="shared" si="39"/>
        <v>0</v>
      </c>
      <c r="T54" s="223" t="str">
        <f t="shared" si="31"/>
        <v>-</v>
      </c>
      <c r="U54" s="256"/>
      <c r="V54" s="224"/>
      <c r="W54" s="219"/>
      <c r="X54" s="219">
        <f t="shared" si="40"/>
        <v>0</v>
      </c>
      <c r="Y54" s="222" t="str">
        <f t="shared" si="33"/>
        <v>-</v>
      </c>
      <c r="Z54" s="257"/>
      <c r="AA54" s="182">
        <f>'ADB Inc. Statement'!AA54+'ANT Inc Statement'!AA54+'ACC Inc Statement'!AA54+'PUC Inc. Statement'!AA54+'AASPA Inc. Statement'!AA54+'AFSC Inc. Statement'!AA54+'PSPF Inc. Statement'!AA54+'ATB Inc. Statement'!AA54+'ASSB Inc. Statement'!AA54+'HAA Inc. Statement'!AA54+'WCA Inc. Statement'!AA54</f>
        <v>0</v>
      </c>
      <c r="AB54" s="219">
        <f t="shared" si="34"/>
        <v>0</v>
      </c>
      <c r="AC54" s="222" t="str">
        <f t="shared" si="35"/>
        <v>-</v>
      </c>
      <c r="AD54" s="256"/>
      <c r="AE54" s="193"/>
    </row>
    <row r="55" spans="1:31" x14ac:dyDescent="0.3">
      <c r="A55" s="190" t="s">
        <v>90</v>
      </c>
      <c r="B55" s="182">
        <f>'ADB Inc. Statement'!B55+'ANT Inc Statement'!B55+'ACC Inc Statement'!B55+'PUC Inc. Statement'!B55+'AASPA Inc. Statement'!B55+'AFSC Inc. Statement'!B55+'PSPF Inc. Statement'!B55+'ATB Inc. Statement'!B55+'ASSB Inc. Statement'!B55+'HAA Inc. Statement'!B55+'WCA Inc. Statement'!B55</f>
        <v>5250</v>
      </c>
      <c r="C55" s="182">
        <f>'ADB Inc. Statement'!C55+'ANT Inc Statement'!C55+'ACC Inc Statement'!C55+'PUC Inc. Statement'!C55+'AASPA Inc. Statement'!C55+'AFSC Inc. Statement'!C55+'PSPF Inc. Statement'!C55+'ATB Inc. Statement'!C55+'ASSB Inc. Statement'!C55+'HAA Inc. Statement'!C55+'WCA Inc. Statement'!C55</f>
        <v>430980.63999999996</v>
      </c>
      <c r="D55" s="219">
        <f t="shared" si="36"/>
        <v>425730.63999999996</v>
      </c>
      <c r="E55" s="220">
        <f t="shared" si="28"/>
        <v>81.091550476190463</v>
      </c>
      <c r="F55" s="256"/>
      <c r="G55" s="182">
        <f>'ADB Inc. Statement'!G55+'ANT Inc Statement'!G55+'ACC Inc Statement'!G55+'PUC Inc. Statement'!G55+'AASPA Inc. Statement'!G55+'AFSC Inc. Statement'!G55+'PSPF Inc. Statement'!G55+'ATB Inc. Statement'!G55+'ASSB Inc. Statement'!G55+'HAA Inc. Statement'!G55+'WCA Inc. Statement'!G55</f>
        <v>5250</v>
      </c>
      <c r="H55" s="182">
        <f>'ADB Inc. Statement'!H55+'ANT Inc Statement'!H55+'ACC Inc Statement'!H55+'PUC Inc. Statement'!H55+'AASPA Inc. Statement'!H55+'AFSC Inc. Statement'!H55+'PSPF Inc. Statement'!H55+'ATB Inc. Statement'!H55+'ASSB Inc. Statement'!H55+'HAA Inc. Statement'!H55+'WCA Inc. Statement'!H55</f>
        <v>1137703.3</v>
      </c>
      <c r="I55" s="219">
        <f t="shared" si="37"/>
        <v>1132453.3</v>
      </c>
      <c r="J55" s="221">
        <f t="shared" si="29"/>
        <v>215.70539047619047</v>
      </c>
      <c r="K55" s="256"/>
      <c r="L55" s="182">
        <f>'ADB Inc. Statement'!L55+'ANT Inc Statement'!L55+'ACC Inc Statement'!L55+'PUC Inc. Statement'!L55+'AASPA Inc. Statement'!L55+'AFSC Inc. Statement'!L55+'PSPF Inc. Statement'!L55+'ATB Inc. Statement'!L55+'ASSB Inc. Statement'!L55+'HAA Inc. Statement'!L55+'WCA Inc. Statement'!L55</f>
        <v>5250</v>
      </c>
      <c r="M55" s="182">
        <f>'ADB Inc. Statement'!M55+'ANT Inc Statement'!M55+'ACC Inc Statement'!M55+'PUC Inc. Statement'!M55+'AASPA Inc. Statement'!M55+'AFSC Inc. Statement'!M55+'PSPF Inc. Statement'!M55+'ATB Inc. Statement'!M55+'ASSB Inc. Statement'!M55+'HAA Inc. Statement'!M55+'WCA Inc. Statement'!M55</f>
        <v>1409240.26</v>
      </c>
      <c r="N55" s="219">
        <f t="shared" si="38"/>
        <v>1403990.26</v>
      </c>
      <c r="O55" s="222">
        <f t="shared" si="30"/>
        <v>267.42671619047621</v>
      </c>
      <c r="P55" s="256"/>
      <c r="Q55" s="182">
        <f>'ADB Inc. Statement'!Q55+'ANT Inc Statement'!Q55+'ACC Inc Statement'!Q55+'PUC Inc. Statement'!Q55+'AASPA Inc. Statement'!Q55+'AFSC Inc. Statement'!Q55+'PSPF Inc. Statement'!Q55+'ATB Inc. Statement'!Q55+'ASSB Inc. Statement'!Q55+'HAA Inc. Statement'!Q55+'WCA Inc. Statement'!Q55</f>
        <v>5250</v>
      </c>
      <c r="R55" s="182">
        <f>'ADB Inc. Statement'!R55+'ANT Inc Statement'!R55+'ACC Inc Statement'!R55+'PUC Inc. Statement'!R55+'AASPA Inc. Statement'!R55+'AFSC Inc. Statement'!R55+'PSPF Inc. Statement'!R55+'ATB Inc. Statement'!R55+'ASSB Inc. Statement'!R55+'HAA Inc. Statement'!R55+'WCA Inc. Statement'!R55</f>
        <v>1238150.3500000001</v>
      </c>
      <c r="S55" s="219">
        <f t="shared" si="39"/>
        <v>1232900.3500000001</v>
      </c>
      <c r="T55" s="223">
        <f t="shared" si="31"/>
        <v>234.83816190476193</v>
      </c>
      <c r="U55" s="256"/>
      <c r="V55" s="224">
        <f t="shared" si="32"/>
        <v>21000</v>
      </c>
      <c r="W55" s="219">
        <f t="shared" si="32"/>
        <v>4216074.5500000007</v>
      </c>
      <c r="X55" s="219">
        <f t="shared" si="40"/>
        <v>4195074.5500000007</v>
      </c>
      <c r="Y55" s="222">
        <f t="shared" si="33"/>
        <v>199.76545476190481</v>
      </c>
      <c r="Z55" s="257"/>
      <c r="AA55" s="182">
        <f>'ADB Inc. Statement'!AA55+'ANT Inc Statement'!AA55+'ACC Inc Statement'!AA55+'PUC Inc. Statement'!AA55+'AASPA Inc. Statement'!AA55+'AFSC Inc. Statement'!AA55+'PSPF Inc. Statement'!AA55+'ATB Inc. Statement'!AA55+'ASSB Inc. Statement'!AA55+'HAA Inc. Statement'!AA55+'WCA Inc. Statement'!AA55</f>
        <v>300196</v>
      </c>
      <c r="AB55" s="219">
        <f t="shared" si="34"/>
        <v>-3915878.5500000007</v>
      </c>
      <c r="AC55" s="222">
        <f t="shared" si="35"/>
        <v>-13.044406154645634</v>
      </c>
      <c r="AD55" s="256"/>
      <c r="AE55" s="193"/>
    </row>
    <row r="56" spans="1:31" x14ac:dyDescent="0.3">
      <c r="A56" s="190" t="s">
        <v>91</v>
      </c>
      <c r="B56" s="182">
        <f>'ADB Inc. Statement'!B56+'ANT Inc Statement'!B56+'ACC Inc Statement'!B56+'PUC Inc. Statement'!B56+'AASPA Inc. Statement'!B56+'AFSC Inc. Statement'!B56+'PSPF Inc. Statement'!B56+'ATB Inc. Statement'!B56+'ASSB Inc. Statement'!B56+'HAA Inc. Statement'!B56+'WCA Inc. Statement'!B56</f>
        <v>78408.551749999999</v>
      </c>
      <c r="C56" s="182">
        <f>'ADB Inc. Statement'!C56+'ANT Inc Statement'!C56+'ACC Inc Statement'!C56+'PUC Inc. Statement'!C56+'AASPA Inc. Statement'!C56+'AFSC Inc. Statement'!C56+'PSPF Inc. Statement'!C56+'ATB Inc. Statement'!C56+'ASSB Inc. Statement'!C56+'HAA Inc. Statement'!C56+'WCA Inc. Statement'!C56</f>
        <v>19037.238942060001</v>
      </c>
      <c r="D56" s="219">
        <f t="shared" si="36"/>
        <v>-59371.312807939998</v>
      </c>
      <c r="E56" s="220">
        <f t="shared" si="28"/>
        <v>-0.7572045584675654</v>
      </c>
      <c r="F56" s="256"/>
      <c r="G56" s="182">
        <f>'ADB Inc. Statement'!G56+'ANT Inc Statement'!G56+'ACC Inc Statement'!G56+'PUC Inc. Statement'!G56+'AASPA Inc. Statement'!G56+'AFSC Inc. Statement'!G56+'PSPF Inc. Statement'!G56+'ATB Inc. Statement'!G56+'ASSB Inc. Statement'!G56+'HAA Inc. Statement'!G56+'WCA Inc. Statement'!G56</f>
        <v>78292.427750000003</v>
      </c>
      <c r="H56" s="182">
        <f>'ADB Inc. Statement'!H56+'ANT Inc Statement'!H56+'ACC Inc Statement'!H56+'PUC Inc. Statement'!H56+'AASPA Inc. Statement'!H56+'AFSC Inc. Statement'!H56+'PSPF Inc. Statement'!H56+'ATB Inc. Statement'!H56+'ASSB Inc. Statement'!H56+'HAA Inc. Statement'!H56+'WCA Inc. Statement'!H56</f>
        <v>21254.90927774</v>
      </c>
      <c r="I56" s="219">
        <f t="shared" si="37"/>
        <v>-57037.518472260002</v>
      </c>
      <c r="J56" s="221">
        <f t="shared" si="29"/>
        <v>-0.72851896551719841</v>
      </c>
      <c r="K56" s="256"/>
      <c r="L56" s="182">
        <f>'ADB Inc. Statement'!L56+'ANT Inc Statement'!L56+'ACC Inc Statement'!L56+'PUC Inc. Statement'!L56+'AASPA Inc. Statement'!L56+'AFSC Inc. Statement'!L56+'PSPF Inc. Statement'!L56+'ATB Inc. Statement'!L56+'ASSB Inc. Statement'!L56+'HAA Inc. Statement'!L56+'WCA Inc. Statement'!L56</f>
        <v>86787.138000000006</v>
      </c>
      <c r="M56" s="182">
        <f>'ADB Inc. Statement'!M56+'ANT Inc Statement'!M56+'ACC Inc Statement'!M56+'PUC Inc. Statement'!M56+'AASPA Inc. Statement'!M56+'AFSC Inc. Statement'!M56+'PSPF Inc. Statement'!M56+'ATB Inc. Statement'!M56+'ASSB Inc. Statement'!M56+'HAA Inc. Statement'!M56+'WCA Inc. Statement'!M56</f>
        <v>35984.383797999995</v>
      </c>
      <c r="N56" s="219">
        <f t="shared" si="38"/>
        <v>-50802.754202000011</v>
      </c>
      <c r="O56" s="222">
        <f t="shared" si="30"/>
        <v>-0.58537192690926165</v>
      </c>
      <c r="P56" s="256"/>
      <c r="Q56" s="182">
        <f>'ADB Inc. Statement'!Q56+'ANT Inc Statement'!Q56+'ACC Inc Statement'!Q56+'PUC Inc. Statement'!Q56+'AASPA Inc. Statement'!Q56+'AFSC Inc. Statement'!Q56+'PSPF Inc. Statement'!Q56+'ATB Inc. Statement'!Q56+'ASSB Inc. Statement'!Q56+'HAA Inc. Statement'!Q56+'WCA Inc. Statement'!Q56</f>
        <v>79596.203750000001</v>
      </c>
      <c r="R56" s="182">
        <f>'ADB Inc. Statement'!R56+'ANT Inc Statement'!R56+'ACC Inc Statement'!R56+'PUC Inc. Statement'!R56+'AASPA Inc. Statement'!R56+'AFSC Inc. Statement'!R56+'PSPF Inc. Statement'!R56+'ATB Inc. Statement'!R56+'ASSB Inc. Statement'!R56+'HAA Inc. Statement'!R56+'WCA Inc. Statement'!R56</f>
        <v>44154.407103999998</v>
      </c>
      <c r="S56" s="219">
        <f t="shared" si="39"/>
        <v>-35441.796646000003</v>
      </c>
      <c r="T56" s="223">
        <f t="shared" si="31"/>
        <v>-0.44526993721104446</v>
      </c>
      <c r="U56" s="256"/>
      <c r="V56" s="224">
        <f t="shared" si="32"/>
        <v>323084.32125000004</v>
      </c>
      <c r="W56" s="219">
        <f t="shared" si="32"/>
        <v>120430.93912179999</v>
      </c>
      <c r="X56" s="219">
        <f t="shared" si="40"/>
        <v>-202653.38212820003</v>
      </c>
      <c r="Y56" s="222">
        <f t="shared" si="33"/>
        <v>-0.62724610511628165</v>
      </c>
      <c r="Z56" s="257"/>
      <c r="AA56" s="182">
        <f>'ADB Inc. Statement'!AA56+'ANT Inc Statement'!AA56+'ACC Inc Statement'!AA56+'PUC Inc. Statement'!AA56+'AASPA Inc. Statement'!AA56+'AFSC Inc. Statement'!AA56+'PSPF Inc. Statement'!AA56+'ATB Inc. Statement'!AA56+'ASSB Inc. Statement'!AA56+'HAA Inc. Statement'!AA56+'WCA Inc. Statement'!AA56</f>
        <v>66625.31700000001</v>
      </c>
      <c r="AB56" s="219">
        <f t="shared" si="34"/>
        <v>-53805.622121799985</v>
      </c>
      <c r="AC56" s="222">
        <f t="shared" si="35"/>
        <v>-0.80758523252954995</v>
      </c>
      <c r="AD56" s="256"/>
      <c r="AE56" s="189"/>
    </row>
    <row r="57" spans="1:31" x14ac:dyDescent="0.3">
      <c r="A57" s="190" t="s">
        <v>92</v>
      </c>
      <c r="B57" s="182">
        <f>'ADB Inc. Statement'!B57+'ANT Inc Statement'!B57+'ACC Inc Statement'!B57+'PUC Inc. Statement'!B57+'AASPA Inc. Statement'!B57+'AFSC Inc. Statement'!B57+'PSPF Inc. Statement'!B57+'ATB Inc. Statement'!B57+'ASSB Inc. Statement'!B57+'HAA Inc. Statement'!B57+'WCA Inc. Statement'!B57</f>
        <v>477813.946</v>
      </c>
      <c r="C57" s="182">
        <f>'ADB Inc. Statement'!C57+'ANT Inc Statement'!C57+'ACC Inc Statement'!C57+'PUC Inc. Statement'!C57+'AASPA Inc. Statement'!C57+'AFSC Inc. Statement'!C57+'PSPF Inc. Statement'!C57+'ATB Inc. Statement'!C57+'ASSB Inc. Statement'!C57+'HAA Inc. Statement'!C57+'WCA Inc. Statement'!C57</f>
        <v>317449.86689400004</v>
      </c>
      <c r="D57" s="219">
        <f t="shared" si="36"/>
        <v>-160364.07910599996</v>
      </c>
      <c r="E57" s="220">
        <f t="shared" si="28"/>
        <v>-0.33562034019408876</v>
      </c>
      <c r="F57" s="256"/>
      <c r="G57" s="182">
        <f>'ADB Inc. Statement'!G57+'ANT Inc Statement'!G57+'ACC Inc Statement'!G57+'PUC Inc. Statement'!G57+'AASPA Inc. Statement'!G57+'AFSC Inc. Statement'!G57+'PSPF Inc. Statement'!G57+'ATB Inc. Statement'!G57+'ASSB Inc. Statement'!G57+'HAA Inc. Statement'!G57+'WCA Inc. Statement'!G57</f>
        <v>376446.55600000004</v>
      </c>
      <c r="H57" s="182">
        <f>'ADB Inc. Statement'!H57+'ANT Inc Statement'!H57+'ACC Inc Statement'!H57+'PUC Inc. Statement'!H57+'AASPA Inc. Statement'!H57+'AFSC Inc. Statement'!H57+'PSPF Inc. Statement'!H57+'ATB Inc. Statement'!H57+'ASSB Inc. Statement'!H57+'HAA Inc. Statement'!H57+'WCA Inc. Statement'!H57</f>
        <v>322135.77580199996</v>
      </c>
      <c r="I57" s="219">
        <f t="shared" si="37"/>
        <v>-54310.78019800008</v>
      </c>
      <c r="J57" s="221">
        <f t="shared" si="29"/>
        <v>-0.14427221960824652</v>
      </c>
      <c r="K57" s="256"/>
      <c r="L57" s="182">
        <f>'ADB Inc. Statement'!L57+'ANT Inc Statement'!L57+'ACC Inc Statement'!L57+'PUC Inc. Statement'!L57+'AASPA Inc. Statement'!L57+'AFSC Inc. Statement'!L57+'PSPF Inc. Statement'!L57+'ATB Inc. Statement'!L57+'ASSB Inc. Statement'!L57+'HAA Inc. Statement'!L57+'WCA Inc. Statement'!L57</f>
        <v>503602.81890000001</v>
      </c>
      <c r="M57" s="182">
        <f>'ADB Inc. Statement'!M57+'ANT Inc Statement'!M57+'ACC Inc Statement'!M57+'PUC Inc. Statement'!M57+'AASPA Inc. Statement'!M57+'AFSC Inc. Statement'!M57+'PSPF Inc. Statement'!M57+'ATB Inc. Statement'!M57+'ASSB Inc. Statement'!M57+'HAA Inc. Statement'!M57+'WCA Inc. Statement'!M57</f>
        <v>385317.27500000008</v>
      </c>
      <c r="N57" s="219">
        <f t="shared" si="38"/>
        <v>-118285.54389999993</v>
      </c>
      <c r="O57" s="222">
        <f t="shared" si="30"/>
        <v>-0.23487863741185253</v>
      </c>
      <c r="P57" s="256"/>
      <c r="Q57" s="182">
        <f>'ADB Inc. Statement'!Q57+'ANT Inc Statement'!Q57+'ACC Inc Statement'!Q57+'PUC Inc. Statement'!Q57+'AASPA Inc. Statement'!Q57+'AFSC Inc. Statement'!Q57+'PSPF Inc. Statement'!Q57+'ATB Inc. Statement'!Q57+'ASSB Inc. Statement'!Q57+'HAA Inc. Statement'!Q57+'WCA Inc. Statement'!Q57</f>
        <v>256025.28</v>
      </c>
      <c r="R57" s="182">
        <f>'ADB Inc. Statement'!R57+'ANT Inc Statement'!R57+'ACC Inc Statement'!R57+'PUC Inc. Statement'!R57+'AASPA Inc. Statement'!R57+'AFSC Inc. Statement'!R57+'PSPF Inc. Statement'!R57+'ATB Inc. Statement'!R57+'ASSB Inc. Statement'!R57+'HAA Inc. Statement'!R57+'WCA Inc. Statement'!R57</f>
        <v>439843.06094600004</v>
      </c>
      <c r="S57" s="219">
        <f t="shared" si="39"/>
        <v>183817.78094600004</v>
      </c>
      <c r="T57" s="223">
        <f t="shared" si="31"/>
        <v>0.7179673075486922</v>
      </c>
      <c r="U57" s="256"/>
      <c r="V57" s="224">
        <f t="shared" si="32"/>
        <v>1613888.6009000002</v>
      </c>
      <c r="W57" s="219">
        <f t="shared" si="32"/>
        <v>1464745.9786420001</v>
      </c>
      <c r="X57" s="219">
        <f t="shared" si="40"/>
        <v>-149142.62225800008</v>
      </c>
      <c r="Y57" s="222">
        <f t="shared" si="33"/>
        <v>-9.2411968319764629E-2</v>
      </c>
      <c r="Z57" s="257"/>
      <c r="AA57" s="182">
        <f>'ADB Inc. Statement'!AA57+'ANT Inc Statement'!AA57+'ACC Inc Statement'!AA57+'PUC Inc. Statement'!AA57+'AASPA Inc. Statement'!AA57+'AFSC Inc. Statement'!AA57+'PSPF Inc. Statement'!AA57+'ATB Inc. Statement'!AA57+'ASSB Inc. Statement'!AA57+'HAA Inc. Statement'!AA57+'WCA Inc. Statement'!AA57</f>
        <v>2350321.5688999998</v>
      </c>
      <c r="AB57" s="219">
        <f t="shared" si="34"/>
        <v>885575.59025799972</v>
      </c>
      <c r="AC57" s="222">
        <f t="shared" si="35"/>
        <v>0.37678911770037826</v>
      </c>
      <c r="AD57" s="256"/>
      <c r="AE57" s="189"/>
    </row>
    <row r="58" spans="1:31" x14ac:dyDescent="0.3">
      <c r="A58" s="190" t="s">
        <v>93</v>
      </c>
      <c r="B58" s="182">
        <f>'ADB Inc. Statement'!B58+'ANT Inc Statement'!B58+'ACC Inc Statement'!B58+'PUC Inc. Statement'!B58+'AASPA Inc. Statement'!B58+'AFSC Inc. Statement'!B58+'PSPF Inc. Statement'!B58+'ATB Inc. Statement'!B58+'ASSB Inc. Statement'!B58+'HAA Inc. Statement'!B58+'WCA Inc. Statement'!B58</f>
        <v>182203.0361</v>
      </c>
      <c r="C58" s="182">
        <f>'ADB Inc. Statement'!C58+'ANT Inc Statement'!C58+'ACC Inc Statement'!C58+'PUC Inc. Statement'!C58+'AASPA Inc. Statement'!C58+'AFSC Inc. Statement'!C58+'PSPF Inc. Statement'!C58+'ATB Inc. Statement'!C58+'ASSB Inc. Statement'!C58+'HAA Inc. Statement'!C58+'WCA Inc. Statement'!C58</f>
        <v>89293.271639999992</v>
      </c>
      <c r="D58" s="219">
        <f t="shared" si="36"/>
        <v>-92909.764460000006</v>
      </c>
      <c r="E58" s="220">
        <f t="shared" si="28"/>
        <v>-0.50992434840112966</v>
      </c>
      <c r="F58" s="256"/>
      <c r="G58" s="182">
        <f>'ADB Inc. Statement'!G58+'ANT Inc Statement'!G58+'ACC Inc Statement'!G58+'PUC Inc. Statement'!G58+'AASPA Inc. Statement'!G58+'AFSC Inc. Statement'!G58+'PSPF Inc. Statement'!G58+'ATB Inc. Statement'!G58+'ASSB Inc. Statement'!G58+'HAA Inc. Statement'!G58+'WCA Inc. Statement'!G58</f>
        <v>158390.53630000001</v>
      </c>
      <c r="H58" s="182">
        <f>'ADB Inc. Statement'!H58+'ANT Inc Statement'!H58+'ACC Inc Statement'!H58+'PUC Inc. Statement'!H58+'AASPA Inc. Statement'!H58+'AFSC Inc. Statement'!H58+'PSPF Inc. Statement'!H58+'ATB Inc. Statement'!H58+'ASSB Inc. Statement'!H58+'HAA Inc. Statement'!H58+'WCA Inc. Statement'!H58</f>
        <v>74794.851274000001</v>
      </c>
      <c r="I58" s="219">
        <f t="shared" si="37"/>
        <v>-83595.685026000006</v>
      </c>
      <c r="J58" s="221">
        <f t="shared" si="29"/>
        <v>-0.52778206942658101</v>
      </c>
      <c r="K58" s="256"/>
      <c r="L58" s="182">
        <f>'ADB Inc. Statement'!L58+'ANT Inc Statement'!L58+'ACC Inc Statement'!L58+'PUC Inc. Statement'!L58+'AASPA Inc. Statement'!L58+'AFSC Inc. Statement'!L58+'PSPF Inc. Statement'!L58+'ATB Inc. Statement'!L58+'ASSB Inc. Statement'!L58+'HAA Inc. Statement'!L58+'WCA Inc. Statement'!L58</f>
        <v>160011.51740000001</v>
      </c>
      <c r="M58" s="182">
        <f>'ADB Inc. Statement'!M58+'ANT Inc Statement'!M58+'ACC Inc Statement'!M58+'PUC Inc. Statement'!M58+'AASPA Inc. Statement'!M58+'AFSC Inc. Statement'!M58+'PSPF Inc. Statement'!M58+'ATB Inc. Statement'!M58+'ASSB Inc. Statement'!M58+'HAA Inc. Statement'!M58+'WCA Inc. Statement'!M58</f>
        <v>256211.43475399999</v>
      </c>
      <c r="N58" s="219">
        <f t="shared" si="38"/>
        <v>96199.917353999976</v>
      </c>
      <c r="O58" s="222">
        <f t="shared" si="30"/>
        <v>0.60120620638524092</v>
      </c>
      <c r="P58" s="256"/>
      <c r="Q58" s="182">
        <f>'ADB Inc. Statement'!Q58+'ANT Inc Statement'!Q58+'ACC Inc Statement'!Q58+'PUC Inc. Statement'!Q58+'AASPA Inc. Statement'!Q58+'AFSC Inc. Statement'!Q58+'PSPF Inc. Statement'!Q58+'ATB Inc. Statement'!Q58+'ASSB Inc. Statement'!Q58+'HAA Inc. Statement'!Q58+'WCA Inc. Statement'!Q58</f>
        <v>157041.05989999999</v>
      </c>
      <c r="R58" s="182">
        <f>'ADB Inc. Statement'!R58+'ANT Inc Statement'!R58+'ACC Inc Statement'!R58+'PUC Inc. Statement'!R58+'AASPA Inc. Statement'!R58+'AFSC Inc. Statement'!R58+'PSPF Inc. Statement'!R58+'ATB Inc. Statement'!R58+'ASSB Inc. Statement'!R58+'HAA Inc. Statement'!R58+'WCA Inc. Statement'!R58</f>
        <v>223642.015804</v>
      </c>
      <c r="S58" s="219">
        <f t="shared" si="39"/>
        <v>66600.955904000002</v>
      </c>
      <c r="T58" s="223">
        <f t="shared" si="31"/>
        <v>0.42409899644341364</v>
      </c>
      <c r="U58" s="256"/>
      <c r="V58" s="224">
        <f t="shared" si="32"/>
        <v>657646.14969999995</v>
      </c>
      <c r="W58" s="219">
        <f t="shared" si="32"/>
        <v>643941.57347199996</v>
      </c>
      <c r="X58" s="219">
        <f t="shared" si="40"/>
        <v>-13704.576227999991</v>
      </c>
      <c r="Y58" s="222">
        <f t="shared" si="33"/>
        <v>-2.0838829869606383E-2</v>
      </c>
      <c r="Z58" s="257"/>
      <c r="AA58" s="182">
        <f>'ADB Inc. Statement'!AA58+'ANT Inc Statement'!AA58+'ACC Inc Statement'!AA58+'PUC Inc. Statement'!AA58+'AASPA Inc. Statement'!AA58+'AFSC Inc. Statement'!AA58+'PSPF Inc. Statement'!AA58+'ATB Inc. Statement'!AA58+'ASSB Inc. Statement'!AA58+'HAA Inc. Statement'!AA58+'WCA Inc. Statement'!AA58</f>
        <v>303704.13379999995</v>
      </c>
      <c r="AB58" s="219">
        <f t="shared" si="34"/>
        <v>-340237.43967200001</v>
      </c>
      <c r="AC58" s="222">
        <f t="shared" si="35"/>
        <v>-1.1202924221507586</v>
      </c>
      <c r="AD58" s="256"/>
      <c r="AE58" s="193"/>
    </row>
    <row r="59" spans="1:31" x14ac:dyDescent="0.3">
      <c r="A59" s="190" t="s">
        <v>94</v>
      </c>
      <c r="B59" s="182">
        <f>'ADB Inc. Statement'!B59+'ANT Inc Statement'!B59+'ACC Inc Statement'!B59+'PUC Inc. Statement'!B59+'AASPA Inc. Statement'!B59+'AFSC Inc. Statement'!B59+'PSPF Inc. Statement'!B59+'ATB Inc. Statement'!B59+'ASSB Inc. Statement'!B59+'HAA Inc. Statement'!B59+'WCA Inc. Statement'!B59</f>
        <v>7025.00468</v>
      </c>
      <c r="C59" s="182">
        <f>'ADB Inc. Statement'!C59+'ANT Inc Statement'!C59+'ACC Inc Statement'!C59+'PUC Inc. Statement'!C59+'AASPA Inc. Statement'!C59+'AFSC Inc. Statement'!C59+'PSPF Inc. Statement'!C59+'ATB Inc. Statement'!C59+'ASSB Inc. Statement'!C59+'HAA Inc. Statement'!C59+'WCA Inc. Statement'!C59</f>
        <v>6804.3646799999997</v>
      </c>
      <c r="D59" s="219">
        <f t="shared" si="36"/>
        <v>-220.64000000000033</v>
      </c>
      <c r="E59" s="220">
        <f t="shared" si="28"/>
        <v>-3.1407808257858744E-2</v>
      </c>
      <c r="F59" s="256"/>
      <c r="G59" s="182">
        <f>'ADB Inc. Statement'!G59+'ANT Inc Statement'!G59+'ACC Inc Statement'!G59+'PUC Inc. Statement'!G59+'AASPA Inc. Statement'!G59+'AFSC Inc. Statement'!G59+'PSPF Inc. Statement'!G59+'ATB Inc. Statement'!G59+'ASSB Inc. Statement'!G59+'HAA Inc. Statement'!G59+'WCA Inc. Statement'!G59</f>
        <v>7025.00468</v>
      </c>
      <c r="H59" s="182">
        <f>'ADB Inc. Statement'!H59+'ANT Inc Statement'!H59+'ACC Inc Statement'!H59+'PUC Inc. Statement'!H59+'AASPA Inc. Statement'!H59+'AFSC Inc. Statement'!H59+'PSPF Inc. Statement'!H59+'ATB Inc. Statement'!H59+'ASSB Inc. Statement'!H59+'HAA Inc. Statement'!H59+'WCA Inc. Statement'!H59</f>
        <v>6535.8846799999992</v>
      </c>
      <c r="I59" s="219">
        <f t="shared" si="37"/>
        <v>-489.1200000000008</v>
      </c>
      <c r="J59" s="221">
        <f t="shared" si="29"/>
        <v>-6.9625576391786945E-2</v>
      </c>
      <c r="K59" s="256"/>
      <c r="L59" s="182">
        <f>'ADB Inc. Statement'!L59+'ANT Inc Statement'!L59+'ACC Inc Statement'!L59+'PUC Inc. Statement'!L59+'AASPA Inc. Statement'!L59+'AFSC Inc. Statement'!L59+'PSPF Inc. Statement'!L59+'ATB Inc. Statement'!L59+'ASSB Inc. Statement'!L59+'HAA Inc. Statement'!L59+'WCA Inc. Statement'!L59</f>
        <v>7025.00468</v>
      </c>
      <c r="M59" s="182">
        <f>'ADB Inc. Statement'!M59+'ANT Inc Statement'!M59+'ACC Inc Statement'!M59+'PUC Inc. Statement'!M59+'AASPA Inc. Statement'!M59+'AFSC Inc. Statement'!M59+'PSPF Inc. Statement'!M59+'ATB Inc. Statement'!M59+'ASSB Inc. Statement'!M59+'HAA Inc. Statement'!M59+'WCA Inc. Statement'!M59</f>
        <v>6152.0746799999997</v>
      </c>
      <c r="N59" s="219">
        <f t="shared" si="38"/>
        <v>-872.93000000000029</v>
      </c>
      <c r="O59" s="222">
        <f t="shared" si="30"/>
        <v>-0.1242604154393247</v>
      </c>
      <c r="P59" s="256"/>
      <c r="Q59" s="182">
        <f>'ADB Inc. Statement'!Q59+'ANT Inc Statement'!Q59+'ACC Inc Statement'!Q59+'PUC Inc. Statement'!Q59+'AASPA Inc. Statement'!Q59+'AFSC Inc. Statement'!Q59+'PSPF Inc. Statement'!Q59+'ATB Inc. Statement'!Q59+'ASSB Inc. Statement'!Q59+'HAA Inc. Statement'!Q59+'WCA Inc. Statement'!Q59</f>
        <v>7025.00468</v>
      </c>
      <c r="R59" s="182">
        <f>'ADB Inc. Statement'!R59+'ANT Inc Statement'!R59+'ACC Inc Statement'!R59+'PUC Inc. Statement'!R59+'AASPA Inc. Statement'!R59+'AFSC Inc. Statement'!R59+'PSPF Inc. Statement'!R59+'ATB Inc. Statement'!R59+'ASSB Inc. Statement'!R59+'HAA Inc. Statement'!R59+'WCA Inc. Statement'!R59</f>
        <v>5774.8215599999994</v>
      </c>
      <c r="S59" s="219">
        <f t="shared" si="39"/>
        <v>-1250.1831200000006</v>
      </c>
      <c r="T59" s="223">
        <f t="shared" si="31"/>
        <v>-0.17796189140759414</v>
      </c>
      <c r="U59" s="256"/>
      <c r="V59" s="224">
        <f t="shared" si="32"/>
        <v>28100.01872</v>
      </c>
      <c r="W59" s="219">
        <f t="shared" si="32"/>
        <v>25267.1456</v>
      </c>
      <c r="X59" s="219">
        <f t="shared" si="40"/>
        <v>-2832.8731200000002</v>
      </c>
      <c r="Y59" s="222">
        <f t="shared" si="33"/>
        <v>-0.10081392287414107</v>
      </c>
      <c r="Z59" s="257"/>
      <c r="AA59" s="182">
        <f>'ADB Inc. Statement'!AA59+'ANT Inc Statement'!AA59+'ACC Inc Statement'!AA59+'PUC Inc. Statement'!AA59+'AASPA Inc. Statement'!AA59+'AFSC Inc. Statement'!AA59+'PSPF Inc. Statement'!AA59+'ATB Inc. Statement'!AA59+'ASSB Inc. Statement'!AA59+'HAA Inc. Statement'!AA59+'WCA Inc. Statement'!AA59</f>
        <v>70107.018719999993</v>
      </c>
      <c r="AB59" s="219">
        <f t="shared" si="34"/>
        <v>44839.873119999989</v>
      </c>
      <c r="AC59" s="222">
        <f t="shared" si="35"/>
        <v>0.63959178322908994</v>
      </c>
      <c r="AD59" s="256"/>
      <c r="AE59" s="193"/>
    </row>
    <row r="60" spans="1:31" x14ac:dyDescent="0.3">
      <c r="A60" s="190" t="s">
        <v>95</v>
      </c>
      <c r="B60" s="182">
        <f>'ADB Inc. Statement'!B60+'ANT Inc Statement'!B60+'ACC Inc Statement'!B60+'PUC Inc. Statement'!B60+'AASPA Inc. Statement'!B60+'AFSC Inc. Statement'!B60+'PSPF Inc. Statement'!B60+'ATB Inc. Statement'!B60+'ASSB Inc. Statement'!B60+'HAA Inc. Statement'!B60+'WCA Inc. Statement'!B60</f>
        <v>528121.74012500001</v>
      </c>
      <c r="C60" s="182">
        <f>'ADB Inc. Statement'!C60+'ANT Inc Statement'!C60+'ACC Inc Statement'!C60+'PUC Inc. Statement'!C60+'AASPA Inc. Statement'!C60+'AFSC Inc. Statement'!C60+'PSPF Inc. Statement'!C60+'ATB Inc. Statement'!C60+'ASSB Inc. Statement'!C60+'HAA Inc. Statement'!C60+'WCA Inc. Statement'!C60</f>
        <v>302994.21638737002</v>
      </c>
      <c r="D60" s="219">
        <f t="shared" si="36"/>
        <v>-225127.52373762999</v>
      </c>
      <c r="E60" s="220">
        <f t="shared" si="28"/>
        <v>-0.42627959925365888</v>
      </c>
      <c r="F60" s="191"/>
      <c r="G60" s="182">
        <f>'ADB Inc. Statement'!G60+'ANT Inc Statement'!G60+'ACC Inc Statement'!G60+'PUC Inc. Statement'!G60+'AASPA Inc. Statement'!G60+'AFSC Inc. Statement'!G60+'PSPF Inc. Statement'!G60+'ATB Inc. Statement'!G60+'ASSB Inc. Statement'!G60+'HAA Inc. Statement'!G60+'WCA Inc. Statement'!G60</f>
        <v>538121.74012500001</v>
      </c>
      <c r="H60" s="182">
        <f>'ADB Inc. Statement'!H60+'ANT Inc Statement'!H60+'ACC Inc Statement'!H60+'PUC Inc. Statement'!H60+'AASPA Inc. Statement'!H60+'AFSC Inc. Statement'!H60+'PSPF Inc. Statement'!H60+'ATB Inc. Statement'!H60+'ASSB Inc. Statement'!H60+'HAA Inc. Statement'!H60+'WCA Inc. Statement'!H60</f>
        <v>314706.67365352006</v>
      </c>
      <c r="I60" s="219">
        <f t="shared" si="37"/>
        <v>-223415.06647147995</v>
      </c>
      <c r="J60" s="221">
        <f t="shared" si="29"/>
        <v>-0.41517569317973102</v>
      </c>
      <c r="K60" s="191"/>
      <c r="L60" s="182">
        <f>'ADB Inc. Statement'!L60+'ANT Inc Statement'!L60+'ACC Inc Statement'!L60+'PUC Inc. Statement'!L60+'AASPA Inc. Statement'!L60+'AFSC Inc. Statement'!L60+'PSPF Inc. Statement'!L60+'ATB Inc. Statement'!L60+'ASSB Inc. Statement'!L60+'HAA Inc. Statement'!L60+'WCA Inc. Statement'!L60</f>
        <v>538659.37</v>
      </c>
      <c r="M60" s="182">
        <f>'ADB Inc. Statement'!M60+'ANT Inc Statement'!M60+'ACC Inc Statement'!M60+'PUC Inc. Statement'!M60+'AASPA Inc. Statement'!M60+'AFSC Inc. Statement'!M60+'PSPF Inc. Statement'!M60+'ATB Inc. Statement'!M60+'ASSB Inc. Statement'!M60+'HAA Inc. Statement'!M60+'WCA Inc. Statement'!M60</f>
        <v>495574.74247032998</v>
      </c>
      <c r="N60" s="219">
        <f t="shared" si="38"/>
        <v>-43084.627529670019</v>
      </c>
      <c r="O60" s="222">
        <f t="shared" si="30"/>
        <v>-7.9984921694892297E-2</v>
      </c>
      <c r="P60" s="191"/>
      <c r="Q60" s="182">
        <f>'ADB Inc. Statement'!Q60+'ANT Inc Statement'!Q60+'ACC Inc Statement'!Q60+'PUC Inc. Statement'!Q60+'AASPA Inc. Statement'!Q60+'AFSC Inc. Statement'!Q60+'PSPF Inc. Statement'!Q60+'ATB Inc. Statement'!Q60+'ASSB Inc. Statement'!Q60+'HAA Inc. Statement'!Q60+'WCA Inc. Statement'!Q60</f>
        <v>546992.79037499998</v>
      </c>
      <c r="R60" s="182">
        <f>'ADB Inc. Statement'!R60+'ANT Inc Statement'!R60+'ACC Inc Statement'!R60+'PUC Inc. Statement'!R60+'AASPA Inc. Statement'!R60+'AFSC Inc. Statement'!R60+'PSPF Inc. Statement'!R60+'ATB Inc. Statement'!R60+'ASSB Inc. Statement'!R60+'HAA Inc. Statement'!R60+'WCA Inc. Statement'!R60</f>
        <v>495825.58815324993</v>
      </c>
      <c r="S60" s="219">
        <f t="shared" si="39"/>
        <v>-51167.202221750049</v>
      </c>
      <c r="T60" s="223">
        <f t="shared" si="31"/>
        <v>-9.3542736069101615E-2</v>
      </c>
      <c r="U60" s="191"/>
      <c r="V60" s="224">
        <f t="shared" si="32"/>
        <v>2151895.640625</v>
      </c>
      <c r="W60" s="219">
        <f t="shared" si="32"/>
        <v>1609101.22066447</v>
      </c>
      <c r="X60" s="219">
        <f t="shared" si="40"/>
        <v>-542794.41996053001</v>
      </c>
      <c r="Y60" s="222">
        <f t="shared" si="33"/>
        <v>-0.25224012248237093</v>
      </c>
      <c r="Z60" s="188"/>
      <c r="AA60" s="182">
        <f>'ADB Inc. Statement'!AA60+'ANT Inc Statement'!AA60+'ACC Inc Statement'!AA60+'PUC Inc. Statement'!AA60+'AASPA Inc. Statement'!AA60+'AFSC Inc. Statement'!AA60+'PSPF Inc. Statement'!AA60+'ATB Inc. Statement'!AA60+'ASSB Inc. Statement'!AA60+'HAA Inc. Statement'!AA60+'WCA Inc. Statement'!AA60</f>
        <v>1965853.62</v>
      </c>
      <c r="AB60" s="219">
        <f t="shared" si="34"/>
        <v>356752.39933553012</v>
      </c>
      <c r="AC60" s="222">
        <f t="shared" si="35"/>
        <v>0.18147454912514294</v>
      </c>
      <c r="AD60" s="191"/>
      <c r="AE60" s="193"/>
    </row>
    <row r="61" spans="1:31" x14ac:dyDescent="0.3">
      <c r="A61" s="190" t="s">
        <v>96</v>
      </c>
      <c r="B61" s="182">
        <f>'ADB Inc. Statement'!B61+'ANT Inc Statement'!B61+'ACC Inc Statement'!B61+'PUC Inc. Statement'!B61+'AASPA Inc. Statement'!B61+'AFSC Inc. Statement'!B61+'PSPF Inc. Statement'!B61+'ATB Inc. Statement'!B61+'ASSB Inc. Statement'!B61+'HAA Inc. Statement'!B61+'WCA Inc. Statement'!B61</f>
        <v>198774.103875</v>
      </c>
      <c r="C61" s="182">
        <f>'ADB Inc. Statement'!C61+'ANT Inc Statement'!C61+'ACC Inc Statement'!C61+'PUC Inc. Statement'!C61+'AASPA Inc. Statement'!C61+'AFSC Inc. Statement'!C61+'PSPF Inc. Statement'!C61+'ATB Inc. Statement'!C61+'ASSB Inc. Statement'!C61+'HAA Inc. Statement'!C61+'WCA Inc. Statement'!C61</f>
        <v>83231.517408109998</v>
      </c>
      <c r="D61" s="219">
        <f t="shared" si="36"/>
        <v>-115542.58646689</v>
      </c>
      <c r="E61" s="220">
        <f t="shared" si="28"/>
        <v>-0.58127585140340754</v>
      </c>
      <c r="F61" s="191"/>
      <c r="G61" s="182">
        <f>'ADB Inc. Statement'!G61+'ANT Inc Statement'!G61+'ACC Inc Statement'!G61+'PUC Inc. Statement'!G61+'AASPA Inc. Statement'!G61+'AFSC Inc. Statement'!G61+'PSPF Inc. Statement'!G61+'ATB Inc. Statement'!G61+'ASSB Inc. Statement'!G61+'HAA Inc. Statement'!G61+'WCA Inc. Statement'!G61</f>
        <v>157026.90387499999</v>
      </c>
      <c r="H61" s="182">
        <f>'ADB Inc. Statement'!H61+'ANT Inc Statement'!H61+'ACC Inc Statement'!H61+'PUC Inc. Statement'!H61+'AASPA Inc. Statement'!H61+'AFSC Inc. Statement'!H61+'PSPF Inc. Statement'!H61+'ATB Inc. Statement'!H61+'ASSB Inc. Statement'!H61+'HAA Inc. Statement'!H61+'WCA Inc. Statement'!H61</f>
        <v>121366.45302399001</v>
      </c>
      <c r="I61" s="219">
        <f t="shared" si="37"/>
        <v>-35660.450851009984</v>
      </c>
      <c r="J61" s="221">
        <f t="shared" si="29"/>
        <v>-0.22709771364655576</v>
      </c>
      <c r="K61" s="191"/>
      <c r="L61" s="182">
        <f>'ADB Inc. Statement'!L61+'ANT Inc Statement'!L61+'ACC Inc Statement'!L61+'PUC Inc. Statement'!L61+'AASPA Inc. Statement'!L61+'AFSC Inc. Statement'!L61+'PSPF Inc. Statement'!L61+'ATB Inc. Statement'!L61+'ASSB Inc. Statement'!L61+'HAA Inc. Statement'!L61+'WCA Inc. Statement'!L61</f>
        <v>169025.78</v>
      </c>
      <c r="M61" s="182">
        <f>'ADB Inc. Statement'!M61+'ANT Inc Statement'!M61+'ACC Inc Statement'!M61+'PUC Inc. Statement'!M61+'AASPA Inc. Statement'!M61+'AFSC Inc. Statement'!M61+'PSPF Inc. Statement'!M61+'ATB Inc. Statement'!M61+'ASSB Inc. Statement'!M61+'HAA Inc. Statement'!M61+'WCA Inc. Statement'!M61</f>
        <v>77581.900237969996</v>
      </c>
      <c r="N61" s="219">
        <f t="shared" si="38"/>
        <v>-91443.879762030003</v>
      </c>
      <c r="O61" s="222">
        <f t="shared" si="30"/>
        <v>-0.54100551857846779</v>
      </c>
      <c r="P61" s="191"/>
      <c r="Q61" s="182">
        <f>'ADB Inc. Statement'!Q61+'ANT Inc Statement'!Q61+'ACC Inc Statement'!Q61+'PUC Inc. Statement'!Q61+'AASPA Inc. Statement'!Q61+'AFSC Inc. Statement'!Q61+'PSPF Inc. Statement'!Q61+'ATB Inc. Statement'!Q61+'ASSB Inc. Statement'!Q61+'HAA Inc. Statement'!Q61+'WCA Inc. Statement'!Q61</f>
        <v>150623.22137499999</v>
      </c>
      <c r="R61" s="182">
        <f>'ADB Inc. Statement'!R61+'ANT Inc Statement'!R61+'ACC Inc Statement'!R61+'PUC Inc. Statement'!R61+'AASPA Inc. Statement'!R61+'AFSC Inc. Statement'!R61+'PSPF Inc. Statement'!R61+'ATB Inc. Statement'!R61+'ASSB Inc. Statement'!R61+'HAA Inc. Statement'!R61+'WCA Inc. Statement'!R61</f>
        <v>117009.76737305999</v>
      </c>
      <c r="S61" s="219">
        <f t="shared" si="39"/>
        <v>-33613.454001940001</v>
      </c>
      <c r="T61" s="223">
        <f t="shared" si="31"/>
        <v>-0.22316249576321348</v>
      </c>
      <c r="U61" s="191"/>
      <c r="V61" s="224">
        <f t="shared" si="32"/>
        <v>675450.00912499998</v>
      </c>
      <c r="W61" s="219">
        <f t="shared" si="32"/>
        <v>399189.63804312999</v>
      </c>
      <c r="X61" s="219">
        <f t="shared" si="40"/>
        <v>-276260.37108186999</v>
      </c>
      <c r="Y61" s="222">
        <f t="shared" si="33"/>
        <v>-0.40900195032900616</v>
      </c>
      <c r="Z61" s="188"/>
      <c r="AA61" s="182">
        <f>'ADB Inc. Statement'!AA61+'ANT Inc Statement'!AA61+'ACC Inc Statement'!AA61+'PUC Inc. Statement'!AA61+'AASPA Inc. Statement'!AA61+'AFSC Inc. Statement'!AA61+'PSPF Inc. Statement'!AA61+'ATB Inc. Statement'!AA61+'ASSB Inc. Statement'!AA61+'HAA Inc. Statement'!AA61+'WCA Inc. Statement'!AA61</f>
        <v>1771101</v>
      </c>
      <c r="AB61" s="219">
        <f t="shared" si="34"/>
        <v>1371911.36195687</v>
      </c>
      <c r="AC61" s="222">
        <f t="shared" si="35"/>
        <v>0.77460933168513257</v>
      </c>
      <c r="AD61" s="191"/>
      <c r="AE61" s="193"/>
    </row>
    <row r="62" spans="1:31" x14ac:dyDescent="0.3">
      <c r="A62" s="190" t="s">
        <v>110</v>
      </c>
      <c r="B62" s="182">
        <f>'ADB Inc. Statement'!B62+'ANT Inc Statement'!B62+'ACC Inc Statement'!B62+'PUC Inc. Statement'!B62+'AASPA Inc. Statement'!B62+'AFSC Inc. Statement'!B62+'PSPF Inc. Statement'!B62+'ATB Inc. Statement'!B62+'ASSB Inc. Statement'!B62+'HAA Inc. Statement'!B62+'WCA Inc. Statement'!B62</f>
        <v>1160621.5805000002</v>
      </c>
      <c r="C62" s="182">
        <f>'ADB Inc. Statement'!C62+'ANT Inc Statement'!C62+'ACC Inc Statement'!C62+'PUC Inc. Statement'!C62+'AASPA Inc. Statement'!C62+'AFSC Inc. Statement'!C62+'PSPF Inc. Statement'!C62+'ATB Inc. Statement'!C62+'ASSB Inc. Statement'!C62+'HAA Inc. Statement'!C62+'WCA Inc. Statement'!C62</f>
        <v>1844560.8630321699</v>
      </c>
      <c r="D62" s="219">
        <f t="shared" si="36"/>
        <v>683939.28253216972</v>
      </c>
      <c r="E62" s="220">
        <f t="shared" si="28"/>
        <v>0.58928706309038825</v>
      </c>
      <c r="F62" s="191"/>
      <c r="G62" s="182">
        <f>'ADB Inc. Statement'!G62+'ANT Inc Statement'!G62+'ACC Inc Statement'!G62+'PUC Inc. Statement'!G62+'AASPA Inc. Statement'!G62+'AFSC Inc. Statement'!G62+'PSPF Inc. Statement'!G62+'ATB Inc. Statement'!G62+'ASSB Inc. Statement'!G62+'HAA Inc. Statement'!G62+'WCA Inc. Statement'!G62</f>
        <v>1201949.8045000001</v>
      </c>
      <c r="H62" s="182">
        <f>'ADB Inc. Statement'!H62+'ANT Inc Statement'!H62+'ACC Inc Statement'!H62+'PUC Inc. Statement'!H62+'AASPA Inc. Statement'!H62+'AFSC Inc. Statement'!H62+'PSPF Inc. Statement'!H62+'ATB Inc. Statement'!H62+'ASSB Inc. Statement'!H62+'HAA Inc. Statement'!H62+'WCA Inc. Statement'!H62</f>
        <v>1340799.5584220099</v>
      </c>
      <c r="I62" s="219">
        <f t="shared" si="37"/>
        <v>138849.75392200984</v>
      </c>
      <c r="J62" s="221">
        <f t="shared" si="29"/>
        <v>0.1155204263956514</v>
      </c>
      <c r="K62" s="191"/>
      <c r="L62" s="182">
        <f>'ADB Inc. Statement'!L62+'ANT Inc Statement'!L62+'ACC Inc Statement'!L62+'PUC Inc. Statement'!L62+'AASPA Inc. Statement'!L62+'AFSC Inc. Statement'!L62+'PSPF Inc. Statement'!L62+'ATB Inc. Statement'!L62+'ASSB Inc. Statement'!L62+'HAA Inc. Statement'!L62+'WCA Inc. Statement'!L62</f>
        <v>1129163.3559999999</v>
      </c>
      <c r="M62" s="182">
        <f>'ADB Inc. Statement'!M62+'ANT Inc Statement'!M62+'ACC Inc Statement'!M62+'PUC Inc. Statement'!M62+'AASPA Inc. Statement'!M62+'AFSC Inc. Statement'!M62+'PSPF Inc. Statement'!M62+'ATB Inc. Statement'!M62+'ASSB Inc. Statement'!M62+'HAA Inc. Statement'!M62+'WCA Inc. Statement'!M62</f>
        <v>1359976.5983840001</v>
      </c>
      <c r="N62" s="219">
        <f t="shared" si="38"/>
        <v>230813.24238400022</v>
      </c>
      <c r="O62" s="222">
        <f t="shared" si="30"/>
        <v>0.20441085088134955</v>
      </c>
      <c r="P62" s="191"/>
      <c r="Q62" s="182">
        <f>'ADB Inc. Statement'!Q62+'ANT Inc Statement'!Q62+'ACC Inc Statement'!Q62+'PUC Inc. Statement'!Q62+'AASPA Inc. Statement'!Q62+'AFSC Inc. Statement'!Q62+'PSPF Inc. Statement'!Q62+'ATB Inc. Statement'!Q62+'ASSB Inc. Statement'!Q62+'HAA Inc. Statement'!Q62+'WCA Inc. Statement'!Q62</f>
        <v>1268907.7604999999</v>
      </c>
      <c r="R62" s="182">
        <f>'ADB Inc. Statement'!R62+'ANT Inc Statement'!R62+'ACC Inc Statement'!R62+'PUC Inc. Statement'!R62+'AASPA Inc. Statement'!R62+'AFSC Inc. Statement'!R62+'PSPF Inc. Statement'!R62+'ATB Inc. Statement'!R62+'ASSB Inc. Statement'!R62+'HAA Inc. Statement'!R62+'WCA Inc. Statement'!R62</f>
        <v>1555637.9163383201</v>
      </c>
      <c r="S62" s="219">
        <f t="shared" si="39"/>
        <v>286730.15583832026</v>
      </c>
      <c r="T62" s="223">
        <f t="shared" si="31"/>
        <v>0.22596611413688356</v>
      </c>
      <c r="U62" s="191"/>
      <c r="V62" s="224">
        <f t="shared" si="32"/>
        <v>4760642.5015000002</v>
      </c>
      <c r="W62" s="219">
        <f t="shared" si="32"/>
        <v>6100974.9361765003</v>
      </c>
      <c r="X62" s="219">
        <f t="shared" si="40"/>
        <v>1340332.4346765</v>
      </c>
      <c r="Y62" s="222">
        <f t="shared" si="33"/>
        <v>0.28154444158623199</v>
      </c>
      <c r="Z62" s="188"/>
      <c r="AA62" s="182">
        <f>'ADB Inc. Statement'!AA62+'ANT Inc Statement'!AA62+'ACC Inc Statement'!AA62+'PUC Inc. Statement'!AA62+'AASPA Inc. Statement'!AA62+'AFSC Inc. Statement'!AA62+'PSPF Inc. Statement'!AA62+'ATB Inc. Statement'!AA62+'ASSB Inc. Statement'!AA62+'HAA Inc. Statement'!AA62+'WCA Inc. Statement'!AA62</f>
        <v>8006215.7599999998</v>
      </c>
      <c r="AB62" s="219">
        <f t="shared" si="34"/>
        <v>1905240.8238234995</v>
      </c>
      <c r="AC62" s="222">
        <f t="shared" si="35"/>
        <v>0.23797020726599799</v>
      </c>
      <c r="AD62" s="191"/>
      <c r="AE62" s="193"/>
    </row>
    <row r="63" spans="1:31" x14ac:dyDescent="0.3">
      <c r="A63" s="190" t="s">
        <v>124</v>
      </c>
      <c r="B63" s="182">
        <f>'ADB Inc. Statement'!B63+'ANT Inc Statement'!B63+'ACC Inc Statement'!B63+'PUC Inc. Statement'!B63+'AASPA Inc. Statement'!B63+'AFSC Inc. Statement'!B63+'PSPF Inc. Statement'!B63+'ATB Inc. Statement'!B63+'ASSB Inc. Statement'!B63+'HAA Inc. Statement'!B63+'WCA Inc. Statement'!B63</f>
        <v>1221022.2081749998</v>
      </c>
      <c r="C63" s="182">
        <f>'ADB Inc. Statement'!C63+'ANT Inc Statement'!C63+'ACC Inc Statement'!C63+'PUC Inc. Statement'!C63+'AASPA Inc. Statement'!C63+'AFSC Inc. Statement'!C63+'PSPF Inc. Statement'!C63+'ATB Inc. Statement'!C63+'ASSB Inc. Statement'!C63+'HAA Inc. Statement'!C63+'WCA Inc. Statement'!C63</f>
        <v>413999.17997703998</v>
      </c>
      <c r="D63" s="219">
        <f t="shared" si="36"/>
        <v>-807023.02819795976</v>
      </c>
      <c r="E63" s="220">
        <f t="shared" si="28"/>
        <v>-0.66094049952144307</v>
      </c>
      <c r="F63" s="191"/>
      <c r="G63" s="182">
        <f>'ADB Inc. Statement'!G63+'ANT Inc Statement'!G63+'ACC Inc Statement'!G63+'PUC Inc. Statement'!G63+'AASPA Inc. Statement'!G63+'AFSC Inc. Statement'!G63+'PSPF Inc. Statement'!G63+'ATB Inc. Statement'!G63+'ASSB Inc. Statement'!G63+'HAA Inc. Statement'!G63+'WCA Inc. Statement'!G63</f>
        <v>1118909.2881749999</v>
      </c>
      <c r="H63" s="182">
        <f>'ADB Inc. Statement'!H63+'ANT Inc Statement'!H63+'ACC Inc Statement'!H63+'PUC Inc. Statement'!H63+'AASPA Inc. Statement'!H63+'AFSC Inc. Statement'!H63+'PSPF Inc. Statement'!H63+'ATB Inc. Statement'!H63+'ASSB Inc. Statement'!H63+'HAA Inc. Statement'!H63+'WCA Inc. Statement'!H63</f>
        <v>394594.38698150998</v>
      </c>
      <c r="I63" s="219">
        <f t="shared" si="37"/>
        <v>-724314.9011934899</v>
      </c>
      <c r="J63" s="221">
        <f t="shared" si="29"/>
        <v>-0.64734014530783435</v>
      </c>
      <c r="K63" s="191"/>
      <c r="L63" s="182">
        <f>'ADB Inc. Statement'!L63+'ANT Inc Statement'!L63+'ACC Inc Statement'!L63+'PUC Inc. Statement'!L63+'AASPA Inc. Statement'!L63+'AFSC Inc. Statement'!L63+'PSPF Inc. Statement'!L63+'ATB Inc. Statement'!L63+'ASSB Inc. Statement'!L63+'HAA Inc. Statement'!L63+'WCA Inc. Statement'!L63</f>
        <v>1116489.8400000001</v>
      </c>
      <c r="M63" s="182">
        <f>'ADB Inc. Statement'!M63+'ANT Inc Statement'!M63+'ACC Inc Statement'!M63+'PUC Inc. Statement'!M63+'AASPA Inc. Statement'!M63+'AFSC Inc. Statement'!M63+'PSPF Inc. Statement'!M63+'ATB Inc. Statement'!M63+'ASSB Inc. Statement'!M63+'HAA Inc. Statement'!M63+'WCA Inc. Statement'!M63</f>
        <v>435659.16818999988</v>
      </c>
      <c r="N63" s="219">
        <f t="shared" si="38"/>
        <v>-680830.6718100002</v>
      </c>
      <c r="O63" s="222">
        <f t="shared" si="30"/>
        <v>-0.60979567159339321</v>
      </c>
      <c r="P63" s="191"/>
      <c r="Q63" s="182">
        <f>'ADB Inc. Statement'!Q63+'ANT Inc Statement'!Q63+'ACC Inc Statement'!Q63+'PUC Inc. Statement'!Q63+'AASPA Inc. Statement'!Q63+'AFSC Inc. Statement'!Q63+'PSPF Inc. Statement'!Q63+'ATB Inc. Statement'!Q63+'ASSB Inc. Statement'!Q63+'HAA Inc. Statement'!Q63+'WCA Inc. Statement'!Q63</f>
        <v>1128317.9206749999</v>
      </c>
      <c r="R63" s="182">
        <f>'ADB Inc. Statement'!R63+'ANT Inc Statement'!R63+'ACC Inc Statement'!R63+'PUC Inc. Statement'!R63+'AASPA Inc. Statement'!R63+'AFSC Inc. Statement'!R63+'PSPF Inc. Statement'!R63+'ATB Inc. Statement'!R63+'ASSB Inc. Statement'!R63+'HAA Inc. Statement'!R63+'WCA Inc. Statement'!R63</f>
        <v>3137627.5863100002</v>
      </c>
      <c r="S63" s="219">
        <f t="shared" si="39"/>
        <v>2009309.6656350002</v>
      </c>
      <c r="T63" s="223">
        <f t="shared" si="31"/>
        <v>1.7808009859782779</v>
      </c>
      <c r="U63" s="191"/>
      <c r="V63" s="224">
        <f t="shared" si="32"/>
        <v>4584739.2570249997</v>
      </c>
      <c r="W63" s="219">
        <f t="shared" si="32"/>
        <v>4381880.3214585502</v>
      </c>
      <c r="X63" s="219">
        <f t="shared" si="40"/>
        <v>-202858.93556644954</v>
      </c>
      <c r="Y63" s="222">
        <f t="shared" si="33"/>
        <v>-4.4246558897677216E-2</v>
      </c>
      <c r="Z63" s="188"/>
      <c r="AA63" s="182">
        <f>'ADB Inc. Statement'!AA63+'ANT Inc Statement'!AA63+'ACC Inc Statement'!AA63+'PUC Inc. Statement'!AA63+'AASPA Inc. Statement'!AA63+'AFSC Inc. Statement'!AA63+'PSPF Inc. Statement'!AA63+'ATB Inc. Statement'!AA63+'ASSB Inc. Statement'!AA63+'HAA Inc. Statement'!AA63+'WCA Inc. Statement'!AA63</f>
        <v>13415051.119999999</v>
      </c>
      <c r="AB63" s="219">
        <f t="shared" si="34"/>
        <v>9033170.798541449</v>
      </c>
      <c r="AC63" s="222">
        <f t="shared" si="35"/>
        <v>0.67336089275681044</v>
      </c>
      <c r="AD63" s="191"/>
      <c r="AE63" s="193"/>
    </row>
    <row r="64" spans="1:31" x14ac:dyDescent="0.3">
      <c r="A64" s="190" t="s">
        <v>123</v>
      </c>
      <c r="B64" s="182">
        <f>'ADB Inc. Statement'!B64+'ANT Inc Statement'!B64+'ACC Inc Statement'!B64+'PUC Inc. Statement'!B64+'AASPA Inc. Statement'!B64+'AFSC Inc. Statement'!B64+'PSPF Inc. Statement'!B64+'ATB Inc. Statement'!B64+'ASSB Inc. Statement'!B64+'HAA Inc. Statement'!B64+'WCA Inc. Statement'!B64</f>
        <v>8906250.5</v>
      </c>
      <c r="C64" s="182">
        <f>'ADB Inc. Statement'!C64+'ANT Inc Statement'!C64+'ACC Inc Statement'!C64+'PUC Inc. Statement'!C64+'AASPA Inc. Statement'!C64+'AFSC Inc. Statement'!C64+'PSPF Inc. Statement'!C64+'ATB Inc. Statement'!C64+'ASSB Inc. Statement'!C64+'HAA Inc. Statement'!C64+'WCA Inc. Statement'!C64</f>
        <v>8582186.3800000008</v>
      </c>
      <c r="D64" s="219">
        <f t="shared" si="36"/>
        <v>-324064.11999999918</v>
      </c>
      <c r="E64" s="220">
        <f t="shared" si="28"/>
        <v>-3.6386144764286518E-2</v>
      </c>
      <c r="F64" s="256"/>
      <c r="G64" s="182">
        <f>'ADB Inc. Statement'!G64+'ANT Inc Statement'!G64+'ACC Inc Statement'!G64+'PUC Inc. Statement'!G64+'AASPA Inc. Statement'!G64+'AFSC Inc. Statement'!G64+'PSPF Inc. Statement'!G64+'ATB Inc. Statement'!G64+'ASSB Inc. Statement'!G64+'HAA Inc. Statement'!G64+'WCA Inc. Statement'!G64</f>
        <v>8906250.5</v>
      </c>
      <c r="H64" s="182">
        <f>'ADB Inc. Statement'!H64+'ANT Inc Statement'!H64+'ACC Inc Statement'!H64+'PUC Inc. Statement'!H64+'AASPA Inc. Statement'!H64+'AFSC Inc. Statement'!H64+'PSPF Inc. Statement'!H64+'ATB Inc. Statement'!H64+'ASSB Inc. Statement'!H64+'HAA Inc. Statement'!H64+'WCA Inc. Statement'!H64</f>
        <v>9564108.4400000013</v>
      </c>
      <c r="I64" s="219">
        <f t="shared" si="37"/>
        <v>657857.94000000134</v>
      </c>
      <c r="J64" s="221">
        <f t="shared" si="29"/>
        <v>7.3864747011102072E-2</v>
      </c>
      <c r="K64" s="256"/>
      <c r="L64" s="182">
        <f>'ADB Inc. Statement'!L64+'ANT Inc Statement'!L64+'ACC Inc Statement'!L64+'PUC Inc. Statement'!L64+'AASPA Inc. Statement'!L64+'AFSC Inc. Statement'!L64+'PSPF Inc. Statement'!L64+'ATB Inc. Statement'!L64+'ASSB Inc. Statement'!L64+'HAA Inc. Statement'!L64+'WCA Inc. Statement'!L64</f>
        <v>8906250.5</v>
      </c>
      <c r="M64" s="182">
        <f>'ADB Inc. Statement'!M64+'ANT Inc Statement'!M64+'ACC Inc Statement'!M64+'PUC Inc. Statement'!M64+'AASPA Inc. Statement'!M64+'AFSC Inc. Statement'!M64+'PSPF Inc. Statement'!M64+'ATB Inc. Statement'!M64+'ASSB Inc. Statement'!M64+'HAA Inc. Statement'!M64+'WCA Inc. Statement'!M64</f>
        <v>9404229.6600000001</v>
      </c>
      <c r="N64" s="219">
        <f t="shared" si="38"/>
        <v>497979.16000000015</v>
      </c>
      <c r="O64" s="222">
        <f t="shared" si="30"/>
        <v>5.5913446404859166E-2</v>
      </c>
      <c r="P64" s="256"/>
      <c r="Q64" s="182">
        <f>'ADB Inc. Statement'!Q64+'ANT Inc Statement'!Q64+'ACC Inc Statement'!Q64+'PUC Inc. Statement'!Q64+'AASPA Inc. Statement'!Q64+'AFSC Inc. Statement'!Q64+'PSPF Inc. Statement'!Q64+'ATB Inc. Statement'!Q64+'ASSB Inc. Statement'!Q64+'HAA Inc. Statement'!Q64+'WCA Inc. Statement'!Q64</f>
        <v>8906250.5</v>
      </c>
      <c r="R64" s="182">
        <f>'ADB Inc. Statement'!R64+'ANT Inc Statement'!R64+'ACC Inc Statement'!R64+'PUC Inc. Statement'!R64+'AASPA Inc. Statement'!R64+'AFSC Inc. Statement'!R64+'PSPF Inc. Statement'!R64+'ATB Inc. Statement'!R64+'ASSB Inc. Statement'!R64+'HAA Inc. Statement'!R64+'WCA Inc. Statement'!R64</f>
        <v>11320541.710000001</v>
      </c>
      <c r="S64" s="219">
        <f t="shared" si="39"/>
        <v>2414291.2100000009</v>
      </c>
      <c r="T64" s="223">
        <f t="shared" si="31"/>
        <v>0.27107829607981504</v>
      </c>
      <c r="U64" s="256"/>
      <c r="V64" s="224">
        <f t="shared" si="32"/>
        <v>35625002</v>
      </c>
      <c r="W64" s="219">
        <f t="shared" si="32"/>
        <v>38871066.189999998</v>
      </c>
      <c r="X64" s="219">
        <f t="shared" si="40"/>
        <v>3246064.1899999976</v>
      </c>
      <c r="Y64" s="222">
        <f t="shared" si="33"/>
        <v>9.1117586182872287E-2</v>
      </c>
      <c r="Z64" s="257"/>
      <c r="AA64" s="182">
        <f>'ADB Inc. Statement'!AA64+'ANT Inc Statement'!AA64+'ACC Inc Statement'!AA64+'PUC Inc. Statement'!AA64+'AASPA Inc. Statement'!AA64+'AFSC Inc. Statement'!AA64+'PSPF Inc. Statement'!AA64+'ATB Inc. Statement'!AA64+'ASSB Inc. Statement'!AA64+'HAA Inc. Statement'!AA64+'WCA Inc. Statement'!AA64</f>
        <v>28124812</v>
      </c>
      <c r="AB64" s="219">
        <f t="shared" si="34"/>
        <v>-10746254.189999998</v>
      </c>
      <c r="AC64" s="222">
        <f t="shared" si="35"/>
        <v>-0.38209159193668557</v>
      </c>
      <c r="AD64" s="256"/>
      <c r="AE64" s="193"/>
    </row>
    <row r="65" spans="1:31" x14ac:dyDescent="0.3">
      <c r="A65" s="190" t="s">
        <v>122</v>
      </c>
      <c r="B65" s="182">
        <f>'ADB Inc. Statement'!B65+'ANT Inc Statement'!B65+'ACC Inc Statement'!B65+'PUC Inc. Statement'!B65+'AASPA Inc. Statement'!B65+'AFSC Inc. Statement'!B65+'PSPF Inc. Statement'!B65+'ATB Inc. Statement'!B65+'ASSB Inc. Statement'!B65+'HAA Inc. Statement'!B65+'WCA Inc. Statement'!B65</f>
        <v>739407.20767499995</v>
      </c>
      <c r="C65" s="182">
        <f>'ADB Inc. Statement'!C65+'ANT Inc Statement'!C65+'ACC Inc Statement'!C65+'PUC Inc. Statement'!C65+'AASPA Inc. Statement'!C65+'AFSC Inc. Statement'!C65+'PSPF Inc. Statement'!C65+'ATB Inc. Statement'!C65+'ASSB Inc. Statement'!C65+'HAA Inc. Statement'!C65+'WCA Inc. Statement'!C65</f>
        <v>417230.69067918992</v>
      </c>
      <c r="D65" s="219">
        <f t="shared" si="36"/>
        <v>-322176.51699581003</v>
      </c>
      <c r="E65" s="220">
        <f t="shared" si="28"/>
        <v>-0.43572271632145076</v>
      </c>
      <c r="F65" s="256"/>
      <c r="G65" s="182">
        <f>'ADB Inc. Statement'!G65+'ANT Inc Statement'!G65+'ACC Inc Statement'!G65+'PUC Inc. Statement'!G65+'AASPA Inc. Statement'!G65+'AFSC Inc. Statement'!G65+'PSPF Inc. Statement'!G65+'ATB Inc. Statement'!G65+'ASSB Inc. Statement'!G65+'HAA Inc. Statement'!G65+'WCA Inc. Statement'!G65</f>
        <v>463589.40767499997</v>
      </c>
      <c r="H65" s="182">
        <f>'ADB Inc. Statement'!H65+'ANT Inc Statement'!H65+'ACC Inc Statement'!H65+'PUC Inc. Statement'!H65+'AASPA Inc. Statement'!H65+'AFSC Inc. Statement'!H65+'PSPF Inc. Statement'!H65+'ATB Inc. Statement'!H65+'ASSB Inc. Statement'!H65+'HAA Inc. Statement'!H65+'WCA Inc. Statement'!H65</f>
        <v>357775.46267616993</v>
      </c>
      <c r="I65" s="219">
        <f t="shared" si="37"/>
        <v>-105813.94499883003</v>
      </c>
      <c r="J65" s="221">
        <f t="shared" si="29"/>
        <v>-0.22824927241006129</v>
      </c>
      <c r="K65" s="256"/>
      <c r="L65" s="182">
        <f>'ADB Inc. Statement'!L65+'ANT Inc Statement'!L65+'ACC Inc Statement'!L65+'PUC Inc. Statement'!L65+'AASPA Inc. Statement'!L65+'AFSC Inc. Statement'!L65+'PSPF Inc. Statement'!L65+'ATB Inc. Statement'!L65+'ASSB Inc. Statement'!L65+'HAA Inc. Statement'!L65+'WCA Inc. Statement'!L65</f>
        <v>454180.79</v>
      </c>
      <c r="M65" s="182">
        <f>'ADB Inc. Statement'!M65+'ANT Inc Statement'!M65+'ACC Inc Statement'!M65+'PUC Inc. Statement'!M65+'AASPA Inc. Statement'!M65+'AFSC Inc. Statement'!M65+'PSPF Inc. Statement'!M65+'ATB Inc. Statement'!M65+'ASSB Inc. Statement'!M65+'HAA Inc. Statement'!M65+'WCA Inc. Statement'!M65</f>
        <v>441181.4</v>
      </c>
      <c r="N65" s="219">
        <f t="shared" si="38"/>
        <v>-12999.389999999956</v>
      </c>
      <c r="O65" s="222">
        <f t="shared" si="30"/>
        <v>-2.8621620038134937E-2</v>
      </c>
      <c r="P65" s="256"/>
      <c r="Q65" s="182">
        <f>'ADB Inc. Statement'!Q65+'ANT Inc Statement'!Q65+'ACC Inc Statement'!Q65+'PUC Inc. Statement'!Q65+'AASPA Inc. Statement'!Q65+'AFSC Inc. Statement'!Q65+'PSPF Inc. Statement'!Q65+'ATB Inc. Statement'!Q65+'ASSB Inc. Statement'!Q65+'HAA Inc. Statement'!Q65+'WCA Inc. Statement'!Q65</f>
        <v>689398.195175</v>
      </c>
      <c r="R65" s="182">
        <f>'ADB Inc. Statement'!R65+'ANT Inc Statement'!R65+'ACC Inc Statement'!R65+'PUC Inc. Statement'!R65+'AASPA Inc. Statement'!R65+'AFSC Inc. Statement'!R65+'PSPF Inc. Statement'!R65+'ATB Inc. Statement'!R65+'ASSB Inc. Statement'!R65+'HAA Inc. Statement'!R65+'WCA Inc. Statement'!R65</f>
        <v>389542.75371463003</v>
      </c>
      <c r="S65" s="219">
        <f t="shared" si="39"/>
        <v>-299855.44146036997</v>
      </c>
      <c r="T65" s="223">
        <f t="shared" si="31"/>
        <v>-0.43495246079699018</v>
      </c>
      <c r="U65" s="256"/>
      <c r="V65" s="224">
        <f t="shared" si="32"/>
        <v>2346575.6005250001</v>
      </c>
      <c r="W65" s="219">
        <f t="shared" si="32"/>
        <v>1605730.3070699899</v>
      </c>
      <c r="X65" s="219">
        <f t="shared" si="40"/>
        <v>-740845.29345501028</v>
      </c>
      <c r="Y65" s="222">
        <f t="shared" si="33"/>
        <v>-0.3157133711307919</v>
      </c>
      <c r="Z65" s="257"/>
      <c r="AA65" s="182">
        <f>'ADB Inc. Statement'!AA65+'ANT Inc Statement'!AA65+'ACC Inc Statement'!AA65+'PUC Inc. Statement'!AA65+'AASPA Inc. Statement'!AA65+'AFSC Inc. Statement'!AA65+'PSPF Inc. Statement'!AA65+'ATB Inc. Statement'!AA65+'ASSB Inc. Statement'!AA65+'HAA Inc. Statement'!AA65+'WCA Inc. Statement'!AA65</f>
        <v>2748926.7</v>
      </c>
      <c r="AB65" s="219">
        <f t="shared" si="34"/>
        <v>1143196.3929300103</v>
      </c>
      <c r="AC65" s="222">
        <f t="shared" si="35"/>
        <v>0.41587008956259558</v>
      </c>
      <c r="AD65" s="256"/>
      <c r="AE65" s="189"/>
    </row>
    <row r="66" spans="1:31" x14ac:dyDescent="0.3">
      <c r="A66" s="190" t="s">
        <v>114</v>
      </c>
      <c r="B66" s="182">
        <f>'ADB Inc. Statement'!B66+'ANT Inc Statement'!B66+'ACC Inc Statement'!B66+'PUC Inc. Statement'!B66+'AASPA Inc. Statement'!B66+'AFSC Inc. Statement'!B66+'PSPF Inc. Statement'!B66+'ATB Inc. Statement'!B66+'ASSB Inc. Statement'!B66+'HAA Inc. Statement'!B66+'WCA Inc. Statement'!B66</f>
        <v>17000.01125</v>
      </c>
      <c r="C66" s="182">
        <f>'ADB Inc. Statement'!C66+'ANT Inc Statement'!C66+'ACC Inc Statement'!C66+'PUC Inc. Statement'!C66+'AASPA Inc. Statement'!C66+'AFSC Inc. Statement'!C66+'PSPF Inc. Statement'!C66+'ATB Inc. Statement'!C66+'ASSB Inc. Statement'!C66+'HAA Inc. Statement'!C66+'WCA Inc. Statement'!C66</f>
        <v>10616.09</v>
      </c>
      <c r="D66" s="219">
        <f t="shared" si="36"/>
        <v>-6383.9212499999994</v>
      </c>
      <c r="E66" s="220">
        <f t="shared" si="28"/>
        <v>-0.37552453090288396</v>
      </c>
      <c r="F66" s="256"/>
      <c r="G66" s="182">
        <f>'ADB Inc. Statement'!G66+'ANT Inc Statement'!G66+'ACC Inc Statement'!G66+'PUC Inc. Statement'!G66+'AASPA Inc. Statement'!G66+'AFSC Inc. Statement'!G66+'PSPF Inc. Statement'!G66+'ATB Inc. Statement'!G66+'ASSB Inc. Statement'!G66+'HAA Inc. Statement'!G66+'WCA Inc. Statement'!G66</f>
        <v>500.01125000000002</v>
      </c>
      <c r="H66" s="182">
        <f>'ADB Inc. Statement'!H66+'ANT Inc Statement'!H66+'ACC Inc Statement'!H66+'PUC Inc. Statement'!H66+'AASPA Inc. Statement'!H66+'AFSC Inc. Statement'!H66+'PSPF Inc. Statement'!H66+'ATB Inc. Statement'!H66+'ASSB Inc. Statement'!H66+'HAA Inc. Statement'!H66+'WCA Inc. Statement'!H66</f>
        <v>2772.5813450099999</v>
      </c>
      <c r="I66" s="219">
        <f t="shared" si="37"/>
        <v>2272.5700950099999</v>
      </c>
      <c r="J66" s="221">
        <f t="shared" si="29"/>
        <v>4.5450379266666499</v>
      </c>
      <c r="K66" s="256"/>
      <c r="L66" s="182">
        <f>'ADB Inc. Statement'!L66+'ANT Inc Statement'!L66+'ACC Inc Statement'!L66+'PUC Inc. Statement'!L66+'AASPA Inc. Statement'!L66+'AFSC Inc. Statement'!L66+'PSPF Inc. Statement'!L66+'ATB Inc. Statement'!L66+'ASSB Inc. Statement'!L66+'HAA Inc. Statement'!L66+'WCA Inc. Statement'!L66</f>
        <v>500</v>
      </c>
      <c r="M66" s="182">
        <f>'ADB Inc. Statement'!M66+'ANT Inc Statement'!M66+'ACC Inc Statement'!M66+'PUC Inc. Statement'!M66+'AASPA Inc. Statement'!M66+'AFSC Inc. Statement'!M66+'PSPF Inc. Statement'!M66+'ATB Inc. Statement'!M66+'ASSB Inc. Statement'!M66+'HAA Inc. Statement'!M66+'WCA Inc. Statement'!M66</f>
        <v>10559.130000000001</v>
      </c>
      <c r="N66" s="219">
        <f t="shared" si="38"/>
        <v>10059.130000000001</v>
      </c>
      <c r="O66" s="222">
        <f t="shared" si="30"/>
        <v>20.118260000000003</v>
      </c>
      <c r="P66" s="256"/>
      <c r="Q66" s="182">
        <f>'ADB Inc. Statement'!Q66+'ANT Inc Statement'!Q66+'ACC Inc Statement'!Q66+'PUC Inc. Statement'!Q66+'AASPA Inc. Statement'!Q66+'AFSC Inc. Statement'!Q66+'PSPF Inc. Statement'!Q66+'ATB Inc. Statement'!Q66+'ASSB Inc. Statement'!Q66+'HAA Inc. Statement'!Q66+'WCA Inc. Statement'!Q66</f>
        <v>500</v>
      </c>
      <c r="R66" s="182">
        <f>'ADB Inc. Statement'!R66+'ANT Inc Statement'!R66+'ACC Inc Statement'!R66+'PUC Inc. Statement'!R66+'AASPA Inc. Statement'!R66+'AFSC Inc. Statement'!R66+'PSPF Inc. Statement'!R66+'ATB Inc. Statement'!R66+'ASSB Inc. Statement'!R66+'HAA Inc. Statement'!R66+'WCA Inc. Statement'!R66</f>
        <v>5371.9299999999994</v>
      </c>
      <c r="S66" s="219">
        <f t="shared" si="39"/>
        <v>4871.9299999999994</v>
      </c>
      <c r="T66" s="223">
        <f t="shared" si="31"/>
        <v>9.743859999999998</v>
      </c>
      <c r="U66" s="256"/>
      <c r="V66" s="224">
        <f t="shared" si="32"/>
        <v>18500.022499999999</v>
      </c>
      <c r="W66" s="219">
        <f t="shared" si="32"/>
        <v>29319.731345010001</v>
      </c>
      <c r="X66" s="219">
        <f t="shared" si="40"/>
        <v>10819.708845010002</v>
      </c>
      <c r="Y66" s="222">
        <f t="shared" si="33"/>
        <v>0.58484841545517052</v>
      </c>
      <c r="Z66" s="257"/>
      <c r="AA66" s="182">
        <f>'ADB Inc. Statement'!AA66+'ANT Inc Statement'!AA66+'ACC Inc Statement'!AA66+'PUC Inc. Statement'!AA66+'AASPA Inc. Statement'!AA66+'AFSC Inc. Statement'!AA66+'PSPF Inc. Statement'!AA66+'ATB Inc. Statement'!AA66+'ASSB Inc. Statement'!AA66+'HAA Inc. Statement'!AA66+'WCA Inc. Statement'!AA66</f>
        <v>334684</v>
      </c>
      <c r="AB66" s="219">
        <f t="shared" si="34"/>
        <v>305364.26865499001</v>
      </c>
      <c r="AC66" s="222">
        <f t="shared" si="35"/>
        <v>0.91239577827141427</v>
      </c>
      <c r="AD66" s="256"/>
      <c r="AE66" s="193"/>
    </row>
    <row r="67" spans="1:31" x14ac:dyDescent="0.3">
      <c r="A67" s="190" t="s">
        <v>115</v>
      </c>
      <c r="B67" s="182">
        <f>'ADB Inc. Statement'!B67+'ANT Inc Statement'!B67+'ACC Inc Statement'!B67+'PUC Inc. Statement'!B67+'AASPA Inc. Statement'!B67+'AFSC Inc. Statement'!B67+'PSPF Inc. Statement'!B67+'ATB Inc. Statement'!B67+'ASSB Inc. Statement'!B67+'HAA Inc. Statement'!B67+'WCA Inc. Statement'!B67</f>
        <v>123341.91966000001</v>
      </c>
      <c r="C67" s="182">
        <f>'ADB Inc. Statement'!C67+'ANT Inc Statement'!C67+'ACC Inc Statement'!C67+'PUC Inc. Statement'!C67+'AASPA Inc. Statement'!C67+'AFSC Inc. Statement'!C67+'PSPF Inc. Statement'!C67+'ATB Inc. Statement'!C67+'ASSB Inc. Statement'!C67+'HAA Inc. Statement'!C67+'WCA Inc. Statement'!C67</f>
        <v>125342.87851877</v>
      </c>
      <c r="D67" s="219">
        <f t="shared" si="36"/>
        <v>2000.9588587699836</v>
      </c>
      <c r="E67" s="220">
        <f t="shared" si="28"/>
        <v>1.6222861329593021E-2</v>
      </c>
      <c r="F67" s="191"/>
      <c r="G67" s="182">
        <f>'ADB Inc. Statement'!G67+'ANT Inc Statement'!G67+'ACC Inc Statement'!G67+'PUC Inc. Statement'!G67+'AASPA Inc. Statement'!G67+'AFSC Inc. Statement'!G67+'PSPF Inc. Statement'!G67+'ATB Inc. Statement'!G67+'ASSB Inc. Statement'!G67+'HAA Inc. Statement'!G67+'WCA Inc. Statement'!G67</f>
        <v>128259.24950600001</v>
      </c>
      <c r="H67" s="182">
        <f>'ADB Inc. Statement'!H67+'ANT Inc Statement'!H67+'ACC Inc Statement'!H67+'PUC Inc. Statement'!H67+'AASPA Inc. Statement'!H67+'AFSC Inc. Statement'!H67+'PSPF Inc. Statement'!H67+'ATB Inc. Statement'!H67+'ASSB Inc. Statement'!H67+'HAA Inc. Statement'!H67+'WCA Inc. Statement'!H67</f>
        <v>142160.06964358001</v>
      </c>
      <c r="I67" s="219">
        <f t="shared" si="37"/>
        <v>13900.820137579998</v>
      </c>
      <c r="J67" s="221">
        <f t="shared" si="29"/>
        <v>0.10838064460161771</v>
      </c>
      <c r="K67" s="191"/>
      <c r="L67" s="182">
        <f>'ADB Inc. Statement'!L67+'ANT Inc Statement'!L67+'ACC Inc Statement'!L67+'PUC Inc. Statement'!L67+'AASPA Inc. Statement'!L67+'AFSC Inc. Statement'!L67+'PSPF Inc. Statement'!L67+'ATB Inc. Statement'!L67+'ASSB Inc. Statement'!L67+'HAA Inc. Statement'!L67+'WCA Inc. Statement'!L67</f>
        <v>128372.84234800001</v>
      </c>
      <c r="M67" s="182">
        <f>'ADB Inc. Statement'!M67+'ANT Inc Statement'!M67+'ACC Inc Statement'!M67+'PUC Inc. Statement'!M67+'AASPA Inc. Statement'!M67+'AFSC Inc. Statement'!M67+'PSPF Inc. Statement'!M67+'ATB Inc. Statement'!M67+'ASSB Inc. Statement'!M67+'HAA Inc. Statement'!M67+'WCA Inc. Statement'!M67</f>
        <v>119622.87361758</v>
      </c>
      <c r="N67" s="219">
        <f t="shared" si="38"/>
        <v>-8749.9687304200052</v>
      </c>
      <c r="O67" s="222">
        <f t="shared" si="30"/>
        <v>-6.8160590436255358E-2</v>
      </c>
      <c r="P67" s="191"/>
      <c r="Q67" s="182">
        <f>'ADB Inc. Statement'!Q67+'ANT Inc Statement'!Q67+'ACC Inc Statement'!Q67+'PUC Inc. Statement'!Q67+'AASPA Inc. Statement'!Q67+'AFSC Inc. Statement'!Q67+'PSPF Inc. Statement'!Q67+'ATB Inc. Statement'!Q67+'ASSB Inc. Statement'!Q67+'HAA Inc. Statement'!Q67+'WCA Inc. Statement'!Q67</f>
        <v>132075.63328200002</v>
      </c>
      <c r="R67" s="182">
        <f>'ADB Inc. Statement'!R67+'ANT Inc Statement'!R67+'ACC Inc Statement'!R67+'PUC Inc. Statement'!R67+'AASPA Inc. Statement'!R67+'AFSC Inc. Statement'!R67+'PSPF Inc. Statement'!R67+'ATB Inc. Statement'!R67+'ASSB Inc. Statement'!R67+'HAA Inc. Statement'!R67+'WCA Inc. Statement'!R67</f>
        <v>137146.63341958</v>
      </c>
      <c r="S67" s="219">
        <f t="shared" si="39"/>
        <v>5071.0001375799766</v>
      </c>
      <c r="T67" s="223">
        <f t="shared" si="31"/>
        <v>3.8394668354553178E-2</v>
      </c>
      <c r="U67" s="191"/>
      <c r="V67" s="224">
        <f t="shared" si="32"/>
        <v>512049.64479600004</v>
      </c>
      <c r="W67" s="219">
        <f t="shared" si="32"/>
        <v>524272.45519950998</v>
      </c>
      <c r="X67" s="219">
        <f t="shared" si="40"/>
        <v>12222.810403509939</v>
      </c>
      <c r="Y67" s="222">
        <f t="shared" si="33"/>
        <v>2.3870362039562575E-2</v>
      </c>
      <c r="Z67" s="188"/>
      <c r="AA67" s="182">
        <f>'ADB Inc. Statement'!AA67+'ANT Inc Statement'!AA67+'ACC Inc Statement'!AA67+'PUC Inc. Statement'!AA67+'AASPA Inc. Statement'!AA67+'AFSC Inc. Statement'!AA67+'PSPF Inc. Statement'!AA67+'ATB Inc. Statement'!AA67+'ASSB Inc. Statement'!AA67+'HAA Inc. Statement'!AA67+'WCA Inc. Statement'!AA67</f>
        <v>352545.35204600001</v>
      </c>
      <c r="AB67" s="219">
        <f t="shared" si="34"/>
        <v>-171727.10315350996</v>
      </c>
      <c r="AC67" s="222">
        <f t="shared" si="35"/>
        <v>-0.48710641668338617</v>
      </c>
      <c r="AD67" s="191"/>
      <c r="AE67" s="189"/>
    </row>
    <row r="68" spans="1:31" x14ac:dyDescent="0.3">
      <c r="A68" s="190" t="s">
        <v>121</v>
      </c>
      <c r="B68" s="182">
        <f>'ADB Inc. Statement'!B68+'ANT Inc Statement'!B68+'ACC Inc Statement'!B68+'PUC Inc. Statement'!B68+'AASPA Inc. Statement'!B68+'AFSC Inc. Statement'!B68+'PSPF Inc. Statement'!B68+'ATB Inc. Statement'!B68+'ASSB Inc. Statement'!B68+'HAA Inc. Statement'!B68+'WCA Inc. Statement'!B68</f>
        <v>1115000</v>
      </c>
      <c r="C68" s="182">
        <f>'ADB Inc. Statement'!C68+'ANT Inc Statement'!C68+'ACC Inc Statement'!C68+'PUC Inc. Statement'!C68+'AASPA Inc. Statement'!C68+'AFSC Inc. Statement'!C68+'PSPF Inc. Statement'!C68+'ATB Inc. Statement'!C68+'ASSB Inc. Statement'!C68+'HAA Inc. Statement'!C68+'WCA Inc. Statement'!C68</f>
        <v>843850.64</v>
      </c>
      <c r="D68" s="219">
        <f t="shared" si="36"/>
        <v>-271149.36</v>
      </c>
      <c r="E68" s="220">
        <f t="shared" si="28"/>
        <v>-0.24318328251121074</v>
      </c>
      <c r="F68" s="256"/>
      <c r="G68" s="182">
        <f>'ADB Inc. Statement'!G68+'ANT Inc Statement'!G68+'ACC Inc Statement'!G68+'PUC Inc. Statement'!G68+'AASPA Inc. Statement'!G68+'AFSC Inc. Statement'!G68+'PSPF Inc. Statement'!G68+'ATB Inc. Statement'!G68+'ASSB Inc. Statement'!G68+'HAA Inc. Statement'!G68+'WCA Inc. Statement'!G68</f>
        <v>1115000</v>
      </c>
      <c r="H68" s="182">
        <f>'ADB Inc. Statement'!H68+'ANT Inc Statement'!H68+'ACC Inc Statement'!H68+'PUC Inc. Statement'!H68+'AASPA Inc. Statement'!H68+'AFSC Inc. Statement'!H68+'PSPF Inc. Statement'!H68+'ATB Inc. Statement'!H68+'ASSB Inc. Statement'!H68+'HAA Inc. Statement'!H68+'WCA Inc. Statement'!H68</f>
        <v>1230076.8400000001</v>
      </c>
      <c r="I68" s="219">
        <f t="shared" si="37"/>
        <v>115076.84000000008</v>
      </c>
      <c r="J68" s="221">
        <f t="shared" si="29"/>
        <v>0.10320792825112116</v>
      </c>
      <c r="K68" s="256"/>
      <c r="L68" s="182">
        <f>'ADB Inc. Statement'!L68+'ANT Inc Statement'!L68+'ACC Inc Statement'!L68+'PUC Inc. Statement'!L68+'AASPA Inc. Statement'!L68+'AFSC Inc. Statement'!L68+'PSPF Inc. Statement'!L68+'ATB Inc. Statement'!L68+'ASSB Inc. Statement'!L68+'HAA Inc. Statement'!L68+'WCA Inc. Statement'!L68</f>
        <v>1115000</v>
      </c>
      <c r="M68" s="182">
        <f>'ADB Inc. Statement'!M68+'ANT Inc Statement'!M68+'ACC Inc Statement'!M68+'PUC Inc. Statement'!M68+'AASPA Inc. Statement'!M68+'AFSC Inc. Statement'!M68+'PSPF Inc. Statement'!M68+'ATB Inc. Statement'!M68+'ASSB Inc. Statement'!M68+'HAA Inc. Statement'!M68+'WCA Inc. Statement'!M68</f>
        <v>1264245.54</v>
      </c>
      <c r="N68" s="219">
        <f t="shared" si="38"/>
        <v>149245.54000000004</v>
      </c>
      <c r="O68" s="222">
        <f t="shared" si="30"/>
        <v>0.1338525022421525</v>
      </c>
      <c r="P68" s="256"/>
      <c r="Q68" s="182">
        <f>'ADB Inc. Statement'!Q68+'ANT Inc Statement'!Q68+'ACC Inc Statement'!Q68+'PUC Inc. Statement'!Q68+'AASPA Inc. Statement'!Q68+'AFSC Inc. Statement'!Q68+'PSPF Inc. Statement'!Q68+'ATB Inc. Statement'!Q68+'ASSB Inc. Statement'!Q68+'HAA Inc. Statement'!Q68+'WCA Inc. Statement'!Q68</f>
        <v>1115000</v>
      </c>
      <c r="R68" s="182">
        <f>'ADB Inc. Statement'!R68+'ANT Inc Statement'!R68+'ACC Inc Statement'!R68+'PUC Inc. Statement'!R68+'AASPA Inc. Statement'!R68+'AFSC Inc. Statement'!R68+'PSPF Inc. Statement'!R68+'ATB Inc. Statement'!R68+'ASSB Inc. Statement'!R68+'HAA Inc. Statement'!R68+'WCA Inc. Statement'!R68</f>
        <v>1193798.02</v>
      </c>
      <c r="S68" s="219">
        <f t="shared" si="39"/>
        <v>78798.020000000019</v>
      </c>
      <c r="T68" s="223">
        <f t="shared" si="31"/>
        <v>7.0670869955156965E-2</v>
      </c>
      <c r="U68" s="256"/>
      <c r="V68" s="224">
        <f t="shared" si="32"/>
        <v>4460000</v>
      </c>
      <c r="W68" s="219">
        <f t="shared" si="32"/>
        <v>4531971.04</v>
      </c>
      <c r="X68" s="219">
        <f t="shared" si="40"/>
        <v>71971.040000000037</v>
      </c>
      <c r="Y68" s="222">
        <f t="shared" si="33"/>
        <v>1.613700448430494E-2</v>
      </c>
      <c r="Z68" s="257"/>
      <c r="AA68" s="182">
        <f>'ADB Inc. Statement'!AA68+'ANT Inc Statement'!AA68+'ACC Inc Statement'!AA68+'PUC Inc. Statement'!AA68+'AASPA Inc. Statement'!AA68+'AFSC Inc. Statement'!AA68+'PSPF Inc. Statement'!AA68+'ATB Inc. Statement'!AA68+'ASSB Inc. Statement'!AA68+'HAA Inc. Statement'!AA68+'WCA Inc. Statement'!AA68</f>
        <v>4760002</v>
      </c>
      <c r="AB68" s="219">
        <f t="shared" si="34"/>
        <v>228030.95999999996</v>
      </c>
      <c r="AC68" s="222">
        <f t="shared" si="35"/>
        <v>4.790564373712447E-2</v>
      </c>
      <c r="AD68" s="256"/>
      <c r="AE68" s="189"/>
    </row>
    <row r="69" spans="1:31" x14ac:dyDescent="0.3">
      <c r="A69" s="190" t="s">
        <v>97</v>
      </c>
      <c r="B69" s="182">
        <f>'ADB Inc. Statement'!B69+'ANT Inc Statement'!B69+'ACC Inc Statement'!B69+'PUC Inc. Statement'!B69+'AASPA Inc. Statement'!B69+'AFSC Inc. Statement'!B69+'PSPF Inc. Statement'!B69+'ATB Inc. Statement'!B69+'ASSB Inc. Statement'!B69+'HAA Inc. Statement'!B69+'WCA Inc. Statement'!B69</f>
        <v>328632.06545274996</v>
      </c>
      <c r="C69" s="182">
        <f>'ADB Inc. Statement'!C69+'ANT Inc Statement'!C69+'ACC Inc Statement'!C69+'PUC Inc. Statement'!C69+'AASPA Inc. Statement'!C69+'AFSC Inc. Statement'!C69+'PSPF Inc. Statement'!C69+'ATB Inc. Statement'!C69+'ASSB Inc. Statement'!C69+'HAA Inc. Statement'!C69+'WCA Inc. Statement'!C69</f>
        <v>339741.44597197999</v>
      </c>
      <c r="D69" s="219">
        <f t="shared" si="36"/>
        <v>11109.380519230035</v>
      </c>
      <c r="E69" s="220">
        <f t="shared" si="28"/>
        <v>3.3804919504506842E-2</v>
      </c>
      <c r="F69" s="256"/>
      <c r="G69" s="182">
        <f>'ADB Inc. Statement'!G69+'ANT Inc Statement'!G69+'ACC Inc Statement'!G69+'PUC Inc. Statement'!G69+'AASPA Inc. Statement'!G69+'AFSC Inc. Statement'!G69+'PSPF Inc. Statement'!G69+'ATB Inc. Statement'!G69+'ASSB Inc. Statement'!G69+'HAA Inc. Statement'!G69+'WCA Inc. Statement'!G69</f>
        <v>203890.31357674999</v>
      </c>
      <c r="H69" s="182">
        <f>'ADB Inc. Statement'!H69+'ANT Inc Statement'!H69+'ACC Inc Statement'!H69+'PUC Inc. Statement'!H69+'AASPA Inc. Statement'!H69+'AFSC Inc. Statement'!H69+'PSPF Inc. Statement'!H69+'ATB Inc. Statement'!H69+'ASSB Inc. Statement'!H69+'HAA Inc. Statement'!H69+'WCA Inc. Statement'!H69</f>
        <v>179646.32070799998</v>
      </c>
      <c r="I69" s="219">
        <f t="shared" si="37"/>
        <v>-24243.992868750007</v>
      </c>
      <c r="J69" s="221">
        <f t="shared" si="29"/>
        <v>-0.11890703605997395</v>
      </c>
      <c r="K69" s="256"/>
      <c r="L69" s="182">
        <f>'ADB Inc. Statement'!L69+'ANT Inc Statement'!L69+'ACC Inc Statement'!L69+'PUC Inc. Statement'!L69+'AASPA Inc. Statement'!L69+'AFSC Inc. Statement'!L69+'PSPF Inc. Statement'!L69+'ATB Inc. Statement'!L69+'ASSB Inc. Statement'!L69+'HAA Inc. Statement'!L69+'WCA Inc. Statement'!L69</f>
        <v>194610.18910800002</v>
      </c>
      <c r="M69" s="182">
        <f>'ADB Inc. Statement'!M69+'ANT Inc Statement'!M69+'ACC Inc Statement'!M69+'PUC Inc. Statement'!M69+'AASPA Inc. Statement'!M69+'AFSC Inc. Statement'!M69+'PSPF Inc. Statement'!M69+'ATB Inc. Statement'!M69+'ASSB Inc. Statement'!M69+'HAA Inc. Statement'!M69+'WCA Inc. Statement'!M69</f>
        <v>185157.180708</v>
      </c>
      <c r="N69" s="219">
        <f t="shared" si="38"/>
        <v>-9453.0084000000206</v>
      </c>
      <c r="O69" s="222">
        <f t="shared" si="30"/>
        <v>-4.8574067181826851E-2</v>
      </c>
      <c r="P69" s="256"/>
      <c r="Q69" s="182">
        <f>'ADB Inc. Statement'!Q69+'ANT Inc Statement'!Q69+'ACC Inc Statement'!Q69+'PUC Inc. Statement'!Q69+'AASPA Inc. Statement'!Q69+'AFSC Inc. Statement'!Q69+'PSPF Inc. Statement'!Q69+'ATB Inc. Statement'!Q69+'ASSB Inc. Statement'!Q69+'HAA Inc. Statement'!Q69+'WCA Inc. Statement'!Q69</f>
        <v>189636.70979275001</v>
      </c>
      <c r="R69" s="182">
        <f>'ADB Inc. Statement'!R69+'ANT Inc Statement'!R69+'ACC Inc Statement'!R69+'PUC Inc. Statement'!R69+'AASPA Inc. Statement'!R69+'AFSC Inc. Statement'!R69+'PSPF Inc. Statement'!R69+'ATB Inc. Statement'!R69+'ASSB Inc. Statement'!R69+'HAA Inc. Statement'!R69+'WCA Inc. Statement'!R69</f>
        <v>102107.72833498</v>
      </c>
      <c r="S69" s="219">
        <f t="shared" si="39"/>
        <v>-87528.981457770016</v>
      </c>
      <c r="T69" s="223">
        <f t="shared" si="31"/>
        <v>-0.46156137993233803</v>
      </c>
      <c r="U69" s="256"/>
      <c r="V69" s="224">
        <f t="shared" si="32"/>
        <v>916769.27793024993</v>
      </c>
      <c r="W69" s="219">
        <f t="shared" si="32"/>
        <v>806652.67572295992</v>
      </c>
      <c r="X69" s="219">
        <f t="shared" si="40"/>
        <v>-110116.60220729001</v>
      </c>
      <c r="Y69" s="222">
        <f t="shared" si="33"/>
        <v>-0.12011375692681965</v>
      </c>
      <c r="Z69" s="257"/>
      <c r="AA69" s="182">
        <f>'ADB Inc. Statement'!AA69+'ANT Inc Statement'!AA69+'ACC Inc Statement'!AA69+'PUC Inc. Statement'!AA69+'AASPA Inc. Statement'!AA69+'AFSC Inc. Statement'!AA69+'PSPF Inc. Statement'!AA69+'ATB Inc. Statement'!AA69+'ASSB Inc. Statement'!AA69+'HAA Inc. Statement'!AA69+'WCA Inc. Statement'!AA69</f>
        <v>705321.76932399999</v>
      </c>
      <c r="AB69" s="219">
        <f t="shared" si="34"/>
        <v>-101330.90639895992</v>
      </c>
      <c r="AC69" s="222">
        <f t="shared" si="35"/>
        <v>-0.14366621137481447</v>
      </c>
      <c r="AD69" s="256"/>
      <c r="AE69" s="193"/>
    </row>
    <row r="70" spans="1:31" x14ac:dyDescent="0.3">
      <c r="A70" s="190" t="s">
        <v>98</v>
      </c>
      <c r="B70" s="182">
        <f>'ADB Inc. Statement'!B70+'ANT Inc Statement'!B70+'ACC Inc Statement'!B70+'PUC Inc. Statement'!B70+'AASPA Inc. Statement'!B70+'AFSC Inc. Statement'!B70+'PSPF Inc. Statement'!B70+'ATB Inc. Statement'!B70+'ASSB Inc. Statement'!B70+'HAA Inc. Statement'!B70+'WCA Inc. Statement'!B70</f>
        <v>9115</v>
      </c>
      <c r="C70" s="182">
        <f>'ADB Inc. Statement'!C70+'ANT Inc Statement'!C70+'ACC Inc Statement'!C70+'PUC Inc. Statement'!C70+'AASPA Inc. Statement'!C70+'AFSC Inc. Statement'!C70+'PSPF Inc. Statement'!C70+'ATB Inc. Statement'!C70+'ASSB Inc. Statement'!C70+'HAA Inc. Statement'!C70+'WCA Inc. Statement'!C70</f>
        <v>660.22</v>
      </c>
      <c r="D70" s="219">
        <f t="shared" si="36"/>
        <v>-8454.7800000000007</v>
      </c>
      <c r="E70" s="220">
        <f t="shared" si="28"/>
        <v>-0.92756774547449272</v>
      </c>
      <c r="F70" s="191"/>
      <c r="G70" s="182">
        <f>'ADB Inc. Statement'!G70+'ANT Inc Statement'!G70+'ACC Inc Statement'!G70+'PUC Inc. Statement'!G70+'AASPA Inc. Statement'!G70+'AFSC Inc. Statement'!G70+'PSPF Inc. Statement'!G70+'ATB Inc. Statement'!G70+'ASSB Inc. Statement'!G70+'HAA Inc. Statement'!G70+'WCA Inc. Statement'!G70</f>
        <v>9115</v>
      </c>
      <c r="H70" s="182">
        <f>'ADB Inc. Statement'!H70+'ANT Inc Statement'!H70+'ACC Inc Statement'!H70+'PUC Inc. Statement'!H70+'AASPA Inc. Statement'!H70+'AFSC Inc. Statement'!H70+'PSPF Inc. Statement'!H70+'ATB Inc. Statement'!H70+'ASSB Inc. Statement'!H70+'HAA Inc. Statement'!H70+'WCA Inc. Statement'!H70</f>
        <v>2366.06</v>
      </c>
      <c r="I70" s="219">
        <f t="shared" si="37"/>
        <v>-6748.9400000000005</v>
      </c>
      <c r="J70" s="221">
        <f t="shared" si="29"/>
        <v>-0.74042128359846415</v>
      </c>
      <c r="K70" s="191"/>
      <c r="L70" s="182">
        <f>'ADB Inc. Statement'!L70+'ANT Inc Statement'!L70+'ACC Inc Statement'!L70+'PUC Inc. Statement'!L70+'AASPA Inc. Statement'!L70+'AFSC Inc. Statement'!L70+'PSPF Inc. Statement'!L70+'ATB Inc. Statement'!L70+'ASSB Inc. Statement'!L70+'HAA Inc. Statement'!L70+'WCA Inc. Statement'!L70</f>
        <v>9115</v>
      </c>
      <c r="M70" s="182">
        <f>'ADB Inc. Statement'!M70+'ANT Inc Statement'!M70+'ACC Inc Statement'!M70+'PUC Inc. Statement'!M70+'AASPA Inc. Statement'!M70+'AFSC Inc. Statement'!M70+'PSPF Inc. Statement'!M70+'ATB Inc. Statement'!M70+'ASSB Inc. Statement'!M70+'HAA Inc. Statement'!M70+'WCA Inc. Statement'!M70</f>
        <v>4046.59</v>
      </c>
      <c r="N70" s="219">
        <f t="shared" si="38"/>
        <v>-5068.41</v>
      </c>
      <c r="O70" s="222">
        <f t="shared" si="30"/>
        <v>-0.55605156335710371</v>
      </c>
      <c r="P70" s="191"/>
      <c r="Q70" s="182">
        <f>'ADB Inc. Statement'!Q70+'ANT Inc Statement'!Q70+'ACC Inc Statement'!Q70+'PUC Inc. Statement'!Q70+'AASPA Inc. Statement'!Q70+'AFSC Inc. Statement'!Q70+'PSPF Inc. Statement'!Q70+'ATB Inc. Statement'!Q70+'ASSB Inc. Statement'!Q70+'HAA Inc. Statement'!Q70+'WCA Inc. Statement'!Q70</f>
        <v>9115</v>
      </c>
      <c r="R70" s="182">
        <f>'ADB Inc. Statement'!R70+'ANT Inc Statement'!R70+'ACC Inc Statement'!R70+'PUC Inc. Statement'!R70+'AASPA Inc. Statement'!R70+'AFSC Inc. Statement'!R70+'PSPF Inc. Statement'!R70+'ATB Inc. Statement'!R70+'ASSB Inc. Statement'!R70+'HAA Inc. Statement'!R70+'WCA Inc. Statement'!R70</f>
        <v>5174.21</v>
      </c>
      <c r="S70" s="219">
        <f t="shared" si="39"/>
        <v>-3940.79</v>
      </c>
      <c r="T70" s="223">
        <f t="shared" si="31"/>
        <v>-0.43234119583104774</v>
      </c>
      <c r="U70" s="191"/>
      <c r="V70" s="224">
        <f t="shared" si="32"/>
        <v>36460</v>
      </c>
      <c r="W70" s="219">
        <f t="shared" si="32"/>
        <v>12247.08</v>
      </c>
      <c r="X70" s="219">
        <f t="shared" si="40"/>
        <v>-24212.92</v>
      </c>
      <c r="Y70" s="222">
        <f t="shared" si="33"/>
        <v>-0.66409544706527701</v>
      </c>
      <c r="Z70" s="188"/>
      <c r="AA70" s="182">
        <f>'ADB Inc. Statement'!AA70+'ANT Inc Statement'!AA70+'ACC Inc Statement'!AA70+'PUC Inc. Statement'!AA70+'AASPA Inc. Statement'!AA70+'AFSC Inc. Statement'!AA70+'PSPF Inc. Statement'!AA70+'ATB Inc. Statement'!AA70+'ASSB Inc. Statement'!AA70+'HAA Inc. Statement'!AA70+'WCA Inc. Statement'!AA70</f>
        <v>108997</v>
      </c>
      <c r="AB70" s="219">
        <f t="shared" si="34"/>
        <v>96749.92</v>
      </c>
      <c r="AC70" s="222">
        <f t="shared" si="35"/>
        <v>0.8876383753681294</v>
      </c>
      <c r="AD70" s="191"/>
      <c r="AE70" s="193"/>
    </row>
    <row r="71" spans="1:31" x14ac:dyDescent="0.3">
      <c r="A71" s="190" t="s">
        <v>116</v>
      </c>
      <c r="B71" s="182">
        <f>'ADB Inc. Statement'!B71+'ANT Inc Statement'!B71+'ACC Inc Statement'!B71+'PUC Inc. Statement'!B71+'AASPA Inc. Statement'!B71+'AFSC Inc. Statement'!B71+'PSPF Inc. Statement'!B71+'ATB Inc. Statement'!B71+'ASSB Inc. Statement'!B71+'HAA Inc. Statement'!B71+'WCA Inc. Statement'!B71</f>
        <v>213488.25</v>
      </c>
      <c r="C71" s="182">
        <f>'ADB Inc. Statement'!C71+'ANT Inc Statement'!C71+'ACC Inc Statement'!C71+'PUC Inc. Statement'!C71+'AASPA Inc. Statement'!C71+'AFSC Inc. Statement'!C71+'PSPF Inc. Statement'!C71+'ATB Inc. Statement'!C71+'ASSB Inc. Statement'!C71+'HAA Inc. Statement'!C71+'WCA Inc. Statement'!C71</f>
        <v>145413.28</v>
      </c>
      <c r="D71" s="219">
        <f t="shared" si="36"/>
        <v>-68074.97</v>
      </c>
      <c r="E71" s="220">
        <f t="shared" si="28"/>
        <v>-0.31886986754540358</v>
      </c>
      <c r="F71" s="256"/>
      <c r="G71" s="182">
        <f>'ADB Inc. Statement'!G71+'ANT Inc Statement'!G71+'ACC Inc Statement'!G71+'PUC Inc. Statement'!G71+'AASPA Inc. Statement'!G71+'AFSC Inc. Statement'!G71+'PSPF Inc. Statement'!G71+'ATB Inc. Statement'!G71+'ASSB Inc. Statement'!G71+'HAA Inc. Statement'!G71+'WCA Inc. Statement'!G71</f>
        <v>146225.25</v>
      </c>
      <c r="H71" s="182">
        <f>'ADB Inc. Statement'!H71+'ANT Inc Statement'!H71+'ACC Inc Statement'!H71+'PUC Inc. Statement'!H71+'AASPA Inc. Statement'!H71+'AFSC Inc. Statement'!H71+'PSPF Inc. Statement'!H71+'ATB Inc. Statement'!H71+'ASSB Inc. Statement'!H71+'HAA Inc. Statement'!H71+'WCA Inc. Statement'!H71</f>
        <v>163568.54</v>
      </c>
      <c r="I71" s="219">
        <f t="shared" si="37"/>
        <v>17343.290000000008</v>
      </c>
      <c r="J71" s="221">
        <f t="shared" si="29"/>
        <v>0.11860667018863026</v>
      </c>
      <c r="K71" s="256"/>
      <c r="L71" s="182">
        <f>'ADB Inc. Statement'!L71+'ANT Inc Statement'!L71+'ACC Inc Statement'!L71+'PUC Inc. Statement'!L71+'AASPA Inc. Statement'!L71+'AFSC Inc. Statement'!L71+'PSPF Inc. Statement'!L71+'ATB Inc. Statement'!L71+'ASSB Inc. Statement'!L71+'HAA Inc. Statement'!L71+'WCA Inc. Statement'!L71</f>
        <v>146225.25</v>
      </c>
      <c r="M71" s="182">
        <f>'ADB Inc. Statement'!M71+'ANT Inc Statement'!M71+'ACC Inc Statement'!M71+'PUC Inc. Statement'!M71+'AASPA Inc. Statement'!M71+'AFSC Inc. Statement'!M71+'PSPF Inc. Statement'!M71+'ATB Inc. Statement'!M71+'ASSB Inc. Statement'!M71+'HAA Inc. Statement'!M71+'WCA Inc. Statement'!M71</f>
        <v>228000.30999999997</v>
      </c>
      <c r="N71" s="219">
        <f t="shared" si="38"/>
        <v>81775.059999999969</v>
      </c>
      <c r="O71" s="222">
        <f t="shared" si="30"/>
        <v>0.55924035007633754</v>
      </c>
      <c r="P71" s="256"/>
      <c r="Q71" s="182">
        <f>'ADB Inc. Statement'!Q71+'ANT Inc Statement'!Q71+'ACC Inc Statement'!Q71+'PUC Inc. Statement'!Q71+'AASPA Inc. Statement'!Q71+'AFSC Inc. Statement'!Q71+'PSPF Inc. Statement'!Q71+'ATB Inc. Statement'!Q71+'ASSB Inc. Statement'!Q71+'HAA Inc. Statement'!Q71+'WCA Inc. Statement'!Q71</f>
        <v>146225.25</v>
      </c>
      <c r="R71" s="182">
        <f>'ADB Inc. Statement'!R71+'ANT Inc Statement'!R71+'ACC Inc Statement'!R71+'PUC Inc. Statement'!R71+'AASPA Inc. Statement'!R71+'AFSC Inc. Statement'!R71+'PSPF Inc. Statement'!R71+'ATB Inc. Statement'!R71+'ASSB Inc. Statement'!R71+'HAA Inc. Statement'!R71+'WCA Inc. Statement'!R71</f>
        <v>133869.50999999992</v>
      </c>
      <c r="S71" s="219">
        <f t="shared" si="39"/>
        <v>-12355.740000000078</v>
      </c>
      <c r="T71" s="223">
        <f t="shared" si="31"/>
        <v>-8.4497991967872013E-2</v>
      </c>
      <c r="U71" s="256"/>
      <c r="V71" s="224">
        <f t="shared" si="32"/>
        <v>652164</v>
      </c>
      <c r="W71" s="219">
        <f t="shared" si="32"/>
        <v>670851.6399999999</v>
      </c>
      <c r="X71" s="219">
        <f t="shared" si="40"/>
        <v>18687.639999999898</v>
      </c>
      <c r="Y71" s="222">
        <f t="shared" si="33"/>
        <v>2.8654816886549851E-2</v>
      </c>
      <c r="Z71" s="257"/>
      <c r="AA71" s="182">
        <f>'ADB Inc. Statement'!AA71+'ANT Inc Statement'!AA71+'ACC Inc Statement'!AA71+'PUC Inc. Statement'!AA71+'AASPA Inc. Statement'!AA71+'AFSC Inc. Statement'!AA71+'PSPF Inc. Statement'!AA71+'ATB Inc. Statement'!AA71+'ASSB Inc. Statement'!AA71+'HAA Inc. Statement'!AA71+'WCA Inc. Statement'!AA71</f>
        <v>846858</v>
      </c>
      <c r="AB71" s="219">
        <f t="shared" si="34"/>
        <v>176006.3600000001</v>
      </c>
      <c r="AC71" s="222">
        <f t="shared" si="35"/>
        <v>0.2078345602214304</v>
      </c>
      <c r="AD71" s="256"/>
      <c r="AE71" s="193"/>
    </row>
    <row r="72" spans="1:31" x14ac:dyDescent="0.3">
      <c r="A72" s="190" t="s">
        <v>99</v>
      </c>
      <c r="B72" s="182">
        <f>'ADB Inc. Statement'!B72+'ANT Inc Statement'!B72+'ACC Inc Statement'!B72+'PUC Inc. Statement'!B72+'AASPA Inc. Statement'!B72+'AFSC Inc. Statement'!B72+'PSPF Inc. Statement'!B72+'ATB Inc. Statement'!B72+'ASSB Inc. Statement'!B72+'HAA Inc. Statement'!B72+'WCA Inc. Statement'!B72</f>
        <v>143601.54499999998</v>
      </c>
      <c r="C72" s="182">
        <f>'ADB Inc. Statement'!C72+'ANT Inc Statement'!C72+'ACC Inc Statement'!C72+'PUC Inc. Statement'!C72+'AASPA Inc. Statement'!C72+'AFSC Inc. Statement'!C72+'PSPF Inc. Statement'!C72+'ATB Inc. Statement'!C72+'ASSB Inc. Statement'!C72+'HAA Inc. Statement'!C72+'WCA Inc. Statement'!C72</f>
        <v>38917.370000000003</v>
      </c>
      <c r="D72" s="219">
        <f t="shared" si="36"/>
        <v>-104684.17499999999</v>
      </c>
      <c r="E72" s="220">
        <f t="shared" si="28"/>
        <v>-0.72899058989929388</v>
      </c>
      <c r="F72" s="191"/>
      <c r="G72" s="182">
        <f>'ADB Inc. Statement'!G72+'ANT Inc Statement'!G72+'ACC Inc Statement'!G72+'PUC Inc. Statement'!G72+'AASPA Inc. Statement'!G72+'AFSC Inc. Statement'!G72+'PSPF Inc. Statement'!G72+'ATB Inc. Statement'!G72+'ASSB Inc. Statement'!G72+'HAA Inc. Statement'!G72+'WCA Inc. Statement'!G72</f>
        <v>130520.33960000001</v>
      </c>
      <c r="H72" s="182">
        <f>'ADB Inc. Statement'!H72+'ANT Inc Statement'!H72+'ACC Inc Statement'!H72+'PUC Inc. Statement'!H72+'AASPA Inc. Statement'!H72+'AFSC Inc. Statement'!H72+'PSPF Inc. Statement'!H72+'ATB Inc. Statement'!H72+'ASSB Inc. Statement'!H72+'HAA Inc. Statement'!H72+'WCA Inc. Statement'!H72</f>
        <v>25927.762028609999</v>
      </c>
      <c r="I72" s="219">
        <f t="shared" si="37"/>
        <v>-104592.57757139001</v>
      </c>
      <c r="J72" s="221">
        <f t="shared" si="29"/>
        <v>-0.80135079246598895</v>
      </c>
      <c r="K72" s="191"/>
      <c r="L72" s="182">
        <f>'ADB Inc. Statement'!L72+'ANT Inc Statement'!L72+'ACC Inc Statement'!L72+'PUC Inc. Statement'!L72+'AASPA Inc. Statement'!L72+'AFSC Inc. Statement'!L72+'PSPF Inc. Statement'!L72+'ATB Inc. Statement'!L72+'ASSB Inc. Statement'!L72+'HAA Inc. Statement'!L72+'WCA Inc. Statement'!L72</f>
        <v>102004.13740000001</v>
      </c>
      <c r="M72" s="182">
        <f>'ADB Inc. Statement'!M72+'ANT Inc Statement'!M72+'ACC Inc Statement'!M72+'PUC Inc. Statement'!M72+'AASPA Inc. Statement'!M72+'AFSC Inc. Statement'!M72+'PSPF Inc. Statement'!M72+'ATB Inc. Statement'!M72+'ASSB Inc. Statement'!M72+'HAA Inc. Statement'!M72+'WCA Inc. Statement'!M72</f>
        <v>144942.22267491999</v>
      </c>
      <c r="N72" s="219">
        <f t="shared" si="38"/>
        <v>42938.085274919984</v>
      </c>
      <c r="O72" s="222">
        <f t="shared" si="30"/>
        <v>0.42094454567604611</v>
      </c>
      <c r="P72" s="191"/>
      <c r="Q72" s="182">
        <f>'ADB Inc. Statement'!Q72+'ANT Inc Statement'!Q72+'ACC Inc Statement'!Q72+'PUC Inc. Statement'!Q72+'AASPA Inc. Statement'!Q72+'AFSC Inc. Statement'!Q72+'PSPF Inc. Statement'!Q72+'ATB Inc. Statement'!Q72+'ASSB Inc. Statement'!Q72+'HAA Inc. Statement'!Q72+'WCA Inc. Statement'!Q72</f>
        <v>112408.999792</v>
      </c>
      <c r="R72" s="182">
        <f>'ADB Inc. Statement'!R72+'ANT Inc Statement'!R72+'ACC Inc Statement'!R72+'PUC Inc. Statement'!R72+'AASPA Inc. Statement'!R72+'AFSC Inc. Statement'!R72+'PSPF Inc. Statement'!R72+'ATB Inc. Statement'!R72+'ASSB Inc. Statement'!R72+'HAA Inc. Statement'!R72+'WCA Inc. Statement'!R72</f>
        <v>19794.269368789988</v>
      </c>
      <c r="S72" s="219">
        <f t="shared" si="39"/>
        <v>-92614.730423210014</v>
      </c>
      <c r="T72" s="223">
        <f t="shared" si="31"/>
        <v>-0.8239085001608677</v>
      </c>
      <c r="U72" s="191"/>
      <c r="V72" s="224">
        <f t="shared" si="32"/>
        <v>488535.02179199998</v>
      </c>
      <c r="W72" s="219">
        <f t="shared" si="32"/>
        <v>229581.62407232</v>
      </c>
      <c r="X72" s="219">
        <f t="shared" si="40"/>
        <v>-258953.39771967998</v>
      </c>
      <c r="Y72" s="222">
        <f t="shared" si="33"/>
        <v>-0.53006107273499159</v>
      </c>
      <c r="Z72" s="188"/>
      <c r="AA72" s="182">
        <f>'ADB Inc. Statement'!AA72+'ANT Inc Statement'!AA72+'ACC Inc Statement'!AA72+'PUC Inc. Statement'!AA72+'AASPA Inc. Statement'!AA72+'AFSC Inc. Statement'!AA72+'PSPF Inc. Statement'!AA72+'ATB Inc. Statement'!AA72+'ASSB Inc. Statement'!AA72+'HAA Inc. Statement'!AA72+'WCA Inc. Statement'!AA72</f>
        <v>334768.27679199999</v>
      </c>
      <c r="AB72" s="219">
        <f t="shared" si="34"/>
        <v>105186.65271967999</v>
      </c>
      <c r="AC72" s="222">
        <f t="shared" si="35"/>
        <v>0.31420734881947943</v>
      </c>
      <c r="AD72" s="191"/>
      <c r="AE72" s="193"/>
    </row>
    <row r="73" spans="1:31" x14ac:dyDescent="0.3">
      <c r="A73" s="190" t="s">
        <v>100</v>
      </c>
      <c r="B73" s="182">
        <f>'ADB Inc. Statement'!B73+'ANT Inc Statement'!B73+'ACC Inc Statement'!B73+'PUC Inc. Statement'!B73+'AASPA Inc. Statement'!B73+'AFSC Inc. Statement'!B73+'PSPF Inc. Statement'!B73+'ATB Inc. Statement'!B73+'ASSB Inc. Statement'!B73+'HAA Inc. Statement'!B73+'WCA Inc. Statement'!B73</f>
        <v>522250</v>
      </c>
      <c r="C73" s="182">
        <f>'ADB Inc. Statement'!C73+'ANT Inc Statement'!C73+'ACC Inc Statement'!C73+'PUC Inc. Statement'!C73+'AASPA Inc. Statement'!C73+'AFSC Inc. Statement'!C73+'PSPF Inc. Statement'!C73+'ATB Inc. Statement'!C73+'ASSB Inc. Statement'!C73+'HAA Inc. Statement'!C73+'WCA Inc. Statement'!C73</f>
        <v>3984.96</v>
      </c>
      <c r="D73" s="219">
        <f t="shared" si="36"/>
        <v>-518265.04</v>
      </c>
      <c r="E73" s="220">
        <f t="shared" si="28"/>
        <v>-0.99236963140258494</v>
      </c>
      <c r="F73" s="256"/>
      <c r="G73" s="182">
        <f>'ADB Inc. Statement'!G73+'ANT Inc Statement'!G73+'ACC Inc Statement'!G73+'PUC Inc. Statement'!G73+'AASPA Inc. Statement'!G73+'AFSC Inc. Statement'!G73+'PSPF Inc. Statement'!G73+'ATB Inc. Statement'!G73+'ASSB Inc. Statement'!G73+'HAA Inc. Statement'!G73+'WCA Inc. Statement'!G73</f>
        <v>29000</v>
      </c>
      <c r="H73" s="182">
        <f>'ADB Inc. Statement'!H73+'ANT Inc Statement'!H73+'ACC Inc Statement'!H73+'PUC Inc. Statement'!H73+'AASPA Inc. Statement'!H73+'AFSC Inc. Statement'!H73+'PSPF Inc. Statement'!H73+'ATB Inc. Statement'!H73+'ASSB Inc. Statement'!H73+'HAA Inc. Statement'!H73+'WCA Inc. Statement'!H73</f>
        <v>25304.289999999997</v>
      </c>
      <c r="I73" s="219">
        <f t="shared" si="37"/>
        <v>-3695.7100000000028</v>
      </c>
      <c r="J73" s="221">
        <f t="shared" si="29"/>
        <v>-0.12743827586206907</v>
      </c>
      <c r="K73" s="256"/>
      <c r="L73" s="182">
        <f>'ADB Inc. Statement'!L73+'ANT Inc Statement'!L73+'ACC Inc Statement'!L73+'PUC Inc. Statement'!L73+'AASPA Inc. Statement'!L73+'AFSC Inc. Statement'!L73+'PSPF Inc. Statement'!L73+'ATB Inc. Statement'!L73+'ASSB Inc. Statement'!L73+'HAA Inc. Statement'!L73+'WCA Inc. Statement'!L73</f>
        <v>20000</v>
      </c>
      <c r="M73" s="182">
        <f>'ADB Inc. Statement'!M73+'ANT Inc Statement'!M73+'ACC Inc Statement'!M73+'PUC Inc. Statement'!M73+'AASPA Inc. Statement'!M73+'AFSC Inc. Statement'!M73+'PSPF Inc. Statement'!M73+'ATB Inc. Statement'!M73+'ASSB Inc. Statement'!M73+'HAA Inc. Statement'!M73+'WCA Inc. Statement'!M73</f>
        <v>462.31999999999994</v>
      </c>
      <c r="N73" s="219">
        <f t="shared" si="38"/>
        <v>-19537.68</v>
      </c>
      <c r="O73" s="222">
        <f t="shared" si="30"/>
        <v>-0.97688399999999997</v>
      </c>
      <c r="P73" s="256"/>
      <c r="Q73" s="182">
        <f>'ADB Inc. Statement'!Q73+'ANT Inc Statement'!Q73+'ACC Inc Statement'!Q73+'PUC Inc. Statement'!Q73+'AASPA Inc. Statement'!Q73+'AFSC Inc. Statement'!Q73+'PSPF Inc. Statement'!Q73+'ATB Inc. Statement'!Q73+'ASSB Inc. Statement'!Q73+'HAA Inc. Statement'!Q73+'WCA Inc. Statement'!Q73</f>
        <v>20000</v>
      </c>
      <c r="R73" s="182">
        <f>'ADB Inc. Statement'!R73+'ANT Inc Statement'!R73+'ACC Inc Statement'!R73+'PUC Inc. Statement'!R73+'AASPA Inc. Statement'!R73+'AFSC Inc. Statement'!R73+'PSPF Inc. Statement'!R73+'ATB Inc. Statement'!R73+'ASSB Inc. Statement'!R73+'HAA Inc. Statement'!R73+'WCA Inc. Statement'!R73</f>
        <v>198987.55</v>
      </c>
      <c r="S73" s="219">
        <f t="shared" si="39"/>
        <v>178987.55</v>
      </c>
      <c r="T73" s="223">
        <f t="shared" si="31"/>
        <v>8.9493774999999989</v>
      </c>
      <c r="U73" s="256"/>
      <c r="V73" s="224">
        <f t="shared" si="32"/>
        <v>591250</v>
      </c>
      <c r="W73" s="219">
        <f t="shared" si="32"/>
        <v>228739.12</v>
      </c>
      <c r="X73" s="219">
        <f t="shared" si="40"/>
        <v>-362510.88</v>
      </c>
      <c r="Y73" s="222">
        <f t="shared" si="33"/>
        <v>-0.61312622410147988</v>
      </c>
      <c r="Z73" s="257"/>
      <c r="AA73" s="182">
        <f>'ADB Inc. Statement'!AA73+'ANT Inc Statement'!AA73+'ACC Inc Statement'!AA73+'PUC Inc. Statement'!AA73+'AASPA Inc. Statement'!AA73+'AFSC Inc. Statement'!AA73+'PSPF Inc. Statement'!AA73+'ATB Inc. Statement'!AA73+'ASSB Inc. Statement'!AA73+'HAA Inc. Statement'!AA73+'WCA Inc. Statement'!AA73</f>
        <v>710340</v>
      </c>
      <c r="AB73" s="219">
        <f t="shared" si="34"/>
        <v>481600.88</v>
      </c>
      <c r="AC73" s="222">
        <f t="shared" si="35"/>
        <v>0.67798642903398376</v>
      </c>
      <c r="AD73" s="256"/>
      <c r="AE73" s="189"/>
    </row>
    <row r="74" spans="1:31" x14ac:dyDescent="0.3">
      <c r="A74" s="275" t="s">
        <v>101</v>
      </c>
      <c r="B74" s="182">
        <f>'ADB Inc. Statement'!B74+'ANT Inc Statement'!B74+'ACC Inc Statement'!B74+'PUC Inc. Statement'!B74+'AASPA Inc. Statement'!B74+'AFSC Inc. Statement'!B74+'PSPF Inc. Statement'!B74+'ATB Inc. Statement'!B74+'ASSB Inc. Statement'!B74+'HAA Inc. Statement'!B74+'WCA Inc. Statement'!B74</f>
        <v>1297750.7749999999</v>
      </c>
      <c r="C74" s="182">
        <f>'ADB Inc. Statement'!C74+'ANT Inc Statement'!C74+'ACC Inc Statement'!C74+'PUC Inc. Statement'!C74+'AASPA Inc. Statement'!C74+'AFSC Inc. Statement'!C74+'PSPF Inc. Statement'!C74+'ATB Inc. Statement'!C74+'ASSB Inc. Statement'!C74+'HAA Inc. Statement'!C74+'WCA Inc. Statement'!C74</f>
        <v>1022646.82706082</v>
      </c>
      <c r="D74" s="219">
        <f t="shared" si="36"/>
        <v>-275103.94793917995</v>
      </c>
      <c r="E74" s="220">
        <f t="shared" si="28"/>
        <v>-0.21198519256455844</v>
      </c>
      <c r="F74" s="191"/>
      <c r="G74" s="182">
        <f>'ADB Inc. Statement'!G74+'ANT Inc Statement'!G74+'ACC Inc Statement'!G74+'PUC Inc. Statement'!G74+'AASPA Inc. Statement'!G74+'AFSC Inc. Statement'!G74+'PSPF Inc. Statement'!G74+'ATB Inc. Statement'!G74+'ASSB Inc. Statement'!G74+'HAA Inc. Statement'!G74+'WCA Inc. Statement'!G74</f>
        <v>1290242.7749999999</v>
      </c>
      <c r="H74" s="182">
        <f>'ADB Inc. Statement'!H74+'ANT Inc Statement'!H74+'ACC Inc Statement'!H74+'PUC Inc. Statement'!H74+'AASPA Inc. Statement'!H74+'AFSC Inc. Statement'!H74+'PSPF Inc. Statement'!H74+'ATB Inc. Statement'!H74+'ASSB Inc. Statement'!H74+'HAA Inc. Statement'!H74+'WCA Inc. Statement'!H74</f>
        <v>1205044.9663026999</v>
      </c>
      <c r="I74" s="219">
        <f t="shared" si="37"/>
        <v>-85197.808697300032</v>
      </c>
      <c r="J74" s="221">
        <f t="shared" si="29"/>
        <v>-6.6032385802199153E-2</v>
      </c>
      <c r="K74" s="191"/>
      <c r="L74" s="182">
        <f>'ADB Inc. Statement'!L74+'ANT Inc Statement'!L74+'ACC Inc Statement'!L74+'PUC Inc. Statement'!L74+'AASPA Inc. Statement'!L74+'AFSC Inc. Statement'!L74+'PSPF Inc. Statement'!L74+'ATB Inc. Statement'!L74+'ASSB Inc. Statement'!L74+'HAA Inc. Statement'!L74+'WCA Inc. Statement'!L74</f>
        <v>1325240.1400000001</v>
      </c>
      <c r="M74" s="182">
        <f>'ADB Inc. Statement'!M74+'ANT Inc Statement'!M74+'ACC Inc Statement'!M74+'PUC Inc. Statement'!M74+'AASPA Inc. Statement'!M74+'AFSC Inc. Statement'!M74+'PSPF Inc. Statement'!M74+'ATB Inc. Statement'!M74+'ASSB Inc. Statement'!M74+'HAA Inc. Statement'!M74+'WCA Inc. Statement'!M74</f>
        <v>1323451.49445346</v>
      </c>
      <c r="N74" s="219">
        <f t="shared" si="38"/>
        <v>-1788.6455465401523</v>
      </c>
      <c r="O74" s="222">
        <f t="shared" si="30"/>
        <v>-1.3496765548771804E-3</v>
      </c>
      <c r="P74" s="191"/>
      <c r="Q74" s="182">
        <f>'ADB Inc. Statement'!Q74+'ANT Inc Statement'!Q74+'ACC Inc Statement'!Q74+'PUC Inc. Statement'!Q74+'AASPA Inc. Statement'!Q74+'AFSC Inc. Statement'!Q74+'PSPF Inc. Statement'!Q74+'ATB Inc. Statement'!Q74+'ASSB Inc. Statement'!Q74+'HAA Inc. Statement'!Q74+'WCA Inc. Statement'!Q74</f>
        <v>1327568.095</v>
      </c>
      <c r="R74" s="182">
        <f>'ADB Inc. Statement'!R74+'ANT Inc Statement'!R74+'ACC Inc Statement'!R74+'PUC Inc. Statement'!R74+'AASPA Inc. Statement'!R74+'AFSC Inc. Statement'!R74+'PSPF Inc. Statement'!R74+'ATB Inc. Statement'!R74+'ASSB Inc. Statement'!R74+'HAA Inc. Statement'!R74+'WCA Inc. Statement'!R74</f>
        <v>1129291.2970766104</v>
      </c>
      <c r="S74" s="219">
        <f t="shared" si="39"/>
        <v>-198276.79792338959</v>
      </c>
      <c r="T74" s="223">
        <f t="shared" si="31"/>
        <v>-0.14935339186754831</v>
      </c>
      <c r="U74" s="191"/>
      <c r="V74" s="224">
        <f t="shared" si="32"/>
        <v>5240801.7850000001</v>
      </c>
      <c r="W74" s="219">
        <f t="shared" si="32"/>
        <v>4680434.5848935898</v>
      </c>
      <c r="X74" s="219">
        <f t="shared" si="40"/>
        <v>-560367.20010641031</v>
      </c>
      <c r="Y74" s="222">
        <f t="shared" si="33"/>
        <v>-0.10692394467393701</v>
      </c>
      <c r="Z74" s="188"/>
      <c r="AA74" s="182">
        <f>'ADB Inc. Statement'!AA74+'ANT Inc Statement'!AA74+'ACC Inc Statement'!AA74+'PUC Inc. Statement'!AA74+'AASPA Inc. Statement'!AA74+'AFSC Inc. Statement'!AA74+'PSPF Inc. Statement'!AA74+'ATB Inc. Statement'!AA74+'ASSB Inc. Statement'!AA74+'HAA Inc. Statement'!AA74+'WCA Inc. Statement'!AA74</f>
        <v>12149656.120000001</v>
      </c>
      <c r="AB74" s="219">
        <f t="shared" si="34"/>
        <v>7469221.5351064112</v>
      </c>
      <c r="AC74" s="222">
        <f t="shared" si="35"/>
        <v>0.61476814333955077</v>
      </c>
      <c r="AD74" s="191"/>
      <c r="AE74" s="189"/>
    </row>
    <row r="75" spans="1:31" x14ac:dyDescent="0.3">
      <c r="A75" s="276" t="s">
        <v>120</v>
      </c>
      <c r="B75" s="182">
        <f>'ADB Inc. Statement'!B75+'ANT Inc Statement'!B75+'ACC Inc Statement'!B75+'PUC Inc. Statement'!B75+'AASPA Inc. Statement'!B75+'AFSC Inc. Statement'!B75+'PSPF Inc. Statement'!B75+'ATB Inc. Statement'!B75+'ASSB Inc. Statement'!B75+'HAA Inc. Statement'!B75+'WCA Inc. Statement'!B75</f>
        <v>1.625</v>
      </c>
      <c r="C75" s="182">
        <f>'ADB Inc. Statement'!C75+'ANT Inc Statement'!C75+'ACC Inc Statement'!C75+'PUC Inc. Statement'!C75+'AASPA Inc. Statement'!C75+'AFSC Inc. Statement'!C75+'PSPF Inc. Statement'!C75+'ATB Inc. Statement'!C75+'ASSB Inc. Statement'!C75+'HAA Inc. Statement'!C75+'WCA Inc. Statement'!C75</f>
        <v>1.0520463599999998</v>
      </c>
      <c r="D75" s="219">
        <f t="shared" si="36"/>
        <v>-0.57295364000000015</v>
      </c>
      <c r="E75" s="220">
        <f t="shared" si="28"/>
        <v>-0.35258685538461548</v>
      </c>
      <c r="F75" s="191"/>
      <c r="G75" s="182">
        <f>'ADB Inc. Statement'!G75+'ANT Inc Statement'!G75+'ACC Inc Statement'!G75+'PUC Inc. Statement'!G75+'AASPA Inc. Statement'!G75+'AFSC Inc. Statement'!G75+'PSPF Inc. Statement'!G75+'ATB Inc. Statement'!G75+'ASSB Inc. Statement'!G75+'HAA Inc. Statement'!G75+'WCA Inc. Statement'!G75</f>
        <v>1.625</v>
      </c>
      <c r="H75" s="182">
        <f>'ADB Inc. Statement'!H75+'ANT Inc Statement'!H75+'ACC Inc Statement'!H75+'PUC Inc. Statement'!H75+'AASPA Inc. Statement'!H75+'AFSC Inc. Statement'!H75+'PSPF Inc. Statement'!H75+'ATB Inc. Statement'!H75+'ASSB Inc. Statement'!H75+'HAA Inc. Statement'!H75+'WCA Inc. Statement'!H75</f>
        <v>1.6312303199999998</v>
      </c>
      <c r="I75" s="219">
        <f t="shared" si="37"/>
        <v>6.2303199999997894E-3</v>
      </c>
      <c r="J75" s="221">
        <f t="shared" si="29"/>
        <v>3.8340430769229473E-3</v>
      </c>
      <c r="K75" s="191"/>
      <c r="L75" s="182">
        <f>'ADB Inc. Statement'!L75+'ANT Inc Statement'!L75+'ACC Inc Statement'!L75+'PUC Inc. Statement'!L75+'AASPA Inc. Statement'!L75+'AFSC Inc. Statement'!L75+'PSPF Inc. Statement'!L75+'ATB Inc. Statement'!L75+'ASSB Inc. Statement'!L75+'HAA Inc. Statement'!L75+'WCA Inc. Statement'!L75</f>
        <v>0</v>
      </c>
      <c r="M75" s="182">
        <f>'ADB Inc. Statement'!M75+'ANT Inc Statement'!M75+'ACC Inc Statement'!M75+'PUC Inc. Statement'!M75+'AASPA Inc. Statement'!M75+'AFSC Inc. Statement'!M75+'PSPF Inc. Statement'!M75+'ATB Inc. Statement'!M75+'ASSB Inc. Statement'!M75+'HAA Inc. Statement'!M75+'WCA Inc. Statement'!M75</f>
        <v>0</v>
      </c>
      <c r="N75" s="219">
        <f t="shared" si="38"/>
        <v>0</v>
      </c>
      <c r="O75" s="222" t="str">
        <f t="shared" si="30"/>
        <v>-</v>
      </c>
      <c r="P75" s="191"/>
      <c r="Q75" s="182">
        <f>'ADB Inc. Statement'!Q75+'ANT Inc Statement'!Q75+'ACC Inc Statement'!Q75+'PUC Inc. Statement'!Q75+'AASPA Inc. Statement'!Q75+'AFSC Inc. Statement'!Q75+'PSPF Inc. Statement'!Q75+'ATB Inc. Statement'!Q75+'ASSB Inc. Statement'!Q75+'HAA Inc. Statement'!Q75+'WCA Inc. Statement'!Q75</f>
        <v>0</v>
      </c>
      <c r="R75" s="182">
        <f>'ADB Inc. Statement'!R75+'ANT Inc Statement'!R75+'ACC Inc Statement'!R75+'PUC Inc. Statement'!R75+'AASPA Inc. Statement'!R75+'AFSC Inc. Statement'!R75+'PSPF Inc. Statement'!R75+'ATB Inc. Statement'!R75+'ASSB Inc. Statement'!R75+'HAA Inc. Statement'!R75+'WCA Inc. Statement'!R75</f>
        <v>0</v>
      </c>
      <c r="S75" s="219">
        <f t="shared" si="39"/>
        <v>0</v>
      </c>
      <c r="T75" s="223" t="str">
        <f t="shared" si="31"/>
        <v>-</v>
      </c>
      <c r="U75" s="191"/>
      <c r="V75" s="224">
        <f t="shared" si="32"/>
        <v>3.25</v>
      </c>
      <c r="W75" s="219">
        <f t="shared" si="32"/>
        <v>2.6832766799999996</v>
      </c>
      <c r="X75" s="219">
        <f t="shared" si="40"/>
        <v>-0.56672332000000036</v>
      </c>
      <c r="Y75" s="222">
        <f t="shared" si="33"/>
        <v>-0.17437640615384625</v>
      </c>
      <c r="Z75" s="188"/>
      <c r="AA75" s="182">
        <f>'ADB Inc. Statement'!AA75+'ANT Inc Statement'!AA75+'ACC Inc Statement'!AA75+'PUC Inc. Statement'!AA75+'AASPA Inc. Statement'!AA75+'AFSC Inc. Statement'!AA75+'PSPF Inc. Statement'!AA75+'ATB Inc. Statement'!AA75+'ASSB Inc. Statement'!AA75+'HAA Inc. Statement'!AA75+'WCA Inc. Statement'!AA75</f>
        <v>6500000</v>
      </c>
      <c r="AB75" s="219">
        <f t="shared" si="34"/>
        <v>6499997.3167233197</v>
      </c>
      <c r="AC75" s="222">
        <f t="shared" si="35"/>
        <v>0.99999958718820303</v>
      </c>
      <c r="AD75" s="191"/>
      <c r="AE75" s="189"/>
    </row>
    <row r="76" spans="1:31" x14ac:dyDescent="0.3">
      <c r="A76" s="199" t="s">
        <v>102</v>
      </c>
      <c r="B76" s="235">
        <f>SUM(B43:B75)</f>
        <v>20041504.067842752</v>
      </c>
      <c r="C76" s="236">
        <f>SUM(C43:C75)</f>
        <v>17062205.579893041</v>
      </c>
      <c r="D76" s="236">
        <f>SUM(D43:D75)</f>
        <v>-2979298.4879497089</v>
      </c>
      <c r="E76" s="237">
        <f t="shared" si="28"/>
        <v>-0.14865643206540025</v>
      </c>
      <c r="F76" s="203"/>
      <c r="G76" s="235">
        <f>SUM(G43:G75)</f>
        <v>18710465.897612747</v>
      </c>
      <c r="H76" s="236">
        <f>SUM(H43:H75)</f>
        <v>18437772.322109617</v>
      </c>
      <c r="I76" s="236">
        <f>SUM(I43:I75)</f>
        <v>-272693.57550312887</v>
      </c>
      <c r="J76" s="237">
        <f>IF(ISERROR(I76/G76),"-",I76/G76)</f>
        <v>-1.4574387243768293E-2</v>
      </c>
      <c r="K76" s="203"/>
      <c r="L76" s="235">
        <f>SUM(L43:L75)</f>
        <v>18877194.599235997</v>
      </c>
      <c r="M76" s="236">
        <f>SUM(M43:M75)</f>
        <v>20455816.115700033</v>
      </c>
      <c r="N76" s="236">
        <f>SUM(N43:N75)</f>
        <v>1578621.5164640399</v>
      </c>
      <c r="O76" s="237">
        <f>IF(ISERROR(N76/L76),"-",N76/L76)</f>
        <v>8.3625853839951955E-2</v>
      </c>
      <c r="P76" s="203"/>
      <c r="Q76" s="235">
        <f>SUM(Q43:Q75)</f>
        <v>19338079.135594748</v>
      </c>
      <c r="R76" s="236">
        <f>SUM(R43:R75)</f>
        <v>25336468.179170702</v>
      </c>
      <c r="S76" s="236">
        <f>SUM(S43:S75)</f>
        <v>5998389.04357595</v>
      </c>
      <c r="T76" s="237">
        <f>IF(ISERROR(S76/Q76),"-",S76/Q76)</f>
        <v>0.31018536026853777</v>
      </c>
      <c r="U76" s="203"/>
      <c r="V76" s="235">
        <f>SUM(V43:V75)</f>
        <v>76446193.390286222</v>
      </c>
      <c r="W76" s="236">
        <f>SUM(W43:W75)</f>
        <v>81016537.356873393</v>
      </c>
      <c r="X76" s="236">
        <f>SUM(X43:X75)</f>
        <v>4570343.9665871486</v>
      </c>
      <c r="Y76" s="237">
        <f t="shared" si="33"/>
        <v>5.9785108504407075E-2</v>
      </c>
      <c r="Z76" s="203"/>
      <c r="AA76" s="235">
        <f>SUM(AA43:AA75)</f>
        <v>99488533.70438002</v>
      </c>
      <c r="AB76" s="236">
        <f>SUM(AB43:AB75)</f>
        <v>18471996.347506601</v>
      </c>
      <c r="AC76" s="237">
        <f t="shared" si="35"/>
        <v>0.18566960090490675</v>
      </c>
      <c r="AD76" s="203"/>
      <c r="AE76" s="209"/>
    </row>
    <row r="77" spans="1:31" x14ac:dyDescent="0.3">
      <c r="A77" s="277"/>
      <c r="B77" s="278"/>
      <c r="C77" s="279"/>
      <c r="D77" s="279"/>
      <c r="E77" s="280"/>
      <c r="F77" s="175"/>
      <c r="G77" s="281"/>
      <c r="H77" s="282"/>
      <c r="I77" s="282"/>
      <c r="J77" s="283"/>
      <c r="K77" s="175"/>
      <c r="L77" s="278"/>
      <c r="M77" s="279"/>
      <c r="N77" s="279"/>
      <c r="O77" s="284"/>
      <c r="P77" s="175"/>
      <c r="Q77" s="281"/>
      <c r="R77" s="282"/>
      <c r="S77" s="282"/>
      <c r="T77" s="285"/>
      <c r="U77" s="175"/>
      <c r="V77" s="286"/>
      <c r="W77" s="287"/>
      <c r="X77" s="279"/>
      <c r="Y77" s="284"/>
      <c r="Z77" s="175"/>
      <c r="AA77" s="286"/>
      <c r="AB77" s="279"/>
      <c r="AC77" s="284"/>
      <c r="AD77" s="175"/>
      <c r="AE77" s="189"/>
    </row>
    <row r="78" spans="1:31" ht="19.5" thickBot="1" x14ac:dyDescent="0.35">
      <c r="A78" s="199" t="s">
        <v>103</v>
      </c>
      <c r="B78" s="235">
        <f>B41+B76+B77</f>
        <v>32999541.8128125</v>
      </c>
      <c r="C78" s="236">
        <f>C41+C76+C77</f>
        <v>28205191.58194432</v>
      </c>
      <c r="D78" s="236">
        <f>D41+D76+D77</f>
        <v>-4794350.2308681794</v>
      </c>
      <c r="E78" s="237">
        <f>IF(ISERROR(D78/B78),"-",D78/B78)</f>
        <v>-0.14528535753810712</v>
      </c>
      <c r="F78" s="256"/>
      <c r="G78" s="235">
        <f>G41+G76+G77</f>
        <v>31459878.142566495</v>
      </c>
      <c r="H78" s="236">
        <f>H41+H76+H77</f>
        <v>29907341.699910957</v>
      </c>
      <c r="I78" s="236">
        <f>I41+I76+I77</f>
        <v>-1552536.4426555375</v>
      </c>
      <c r="J78" s="237">
        <f>IF(ISERROR(I78/G78),"-",I78/G78)</f>
        <v>-4.9349728426153455E-2</v>
      </c>
      <c r="K78" s="256"/>
      <c r="L78" s="235">
        <f>L41+L76+L77</f>
        <v>31585862.365909994</v>
      </c>
      <c r="M78" s="236">
        <f>M41+M76+M77</f>
        <v>31931915.131964881</v>
      </c>
      <c r="N78" s="236">
        <f>N41+N76+N77</f>
        <v>346052.76605488849</v>
      </c>
      <c r="O78" s="237">
        <f>IF(ISERROR(N78/L78),"-",N78/L78)</f>
        <v>1.0955938515972782E-2</v>
      </c>
      <c r="P78" s="256"/>
      <c r="Q78" s="235">
        <f>Q41+Q76+Q77</f>
        <v>32084688.089049995</v>
      </c>
      <c r="R78" s="236">
        <f>R41+R76+R77</f>
        <v>39204590.432342753</v>
      </c>
      <c r="S78" s="236">
        <f>S41+S76+S77</f>
        <v>7119902.3432927513</v>
      </c>
      <c r="T78" s="237">
        <f>IF(ISERROR(S78/Q78),"-",S78/Q78)</f>
        <v>0.22190966368542206</v>
      </c>
      <c r="U78" s="256"/>
      <c r="V78" s="235">
        <f>V41+V76+V77</f>
        <v>127608920.10033897</v>
      </c>
      <c r="W78" s="236">
        <f>W41+W76+W77</f>
        <v>128973314.00616291</v>
      </c>
      <c r="X78" s="236">
        <f>X41+X76+X77</f>
        <v>1364393.9058239157</v>
      </c>
      <c r="Y78" s="237">
        <f>IF(ISERROR(X78/V78),"-",X78/V78)</f>
        <v>1.0691994766126789E-2</v>
      </c>
      <c r="Z78" s="256"/>
      <c r="AA78" s="235">
        <f>AA41+AA76+AA77</f>
        <v>152094512.621144</v>
      </c>
      <c r="AB78" s="236">
        <f>AB41+AB76+AB77</f>
        <v>23121198.614981078</v>
      </c>
      <c r="AC78" s="237">
        <f>IF(ISERROR(AB78/AA78),"-",AB78/AA78)</f>
        <v>0.15201862458098173</v>
      </c>
      <c r="AD78" s="256"/>
      <c r="AE78" s="209"/>
    </row>
    <row r="79" spans="1:31" ht="38.25" thickBot="1" x14ac:dyDescent="0.35">
      <c r="A79" s="288" t="s">
        <v>170</v>
      </c>
      <c r="B79" s="278">
        <f>B25-B78</f>
        <v>2072370.7541151717</v>
      </c>
      <c r="C79" s="278">
        <f>C25-C78</f>
        <v>9111888.0368152</v>
      </c>
      <c r="D79" s="278">
        <f>D25-D78</f>
        <v>7039517.2827000236</v>
      </c>
      <c r="E79" s="289"/>
      <c r="F79" s="290">
        <f>F25-F78</f>
        <v>0</v>
      </c>
      <c r="G79" s="278">
        <f>G25-G78</f>
        <v>3928339.5316817686</v>
      </c>
      <c r="H79" s="278">
        <f>H25-H78</f>
        <v>9102753.7199006118</v>
      </c>
      <c r="I79" s="278">
        <f>I25-I78</f>
        <v>5174414.1882188469</v>
      </c>
      <c r="J79" s="289"/>
      <c r="K79" s="290">
        <f>K25-K78</f>
        <v>0</v>
      </c>
      <c r="L79" s="278">
        <f>L25-L78</f>
        <v>3398162.1418900043</v>
      </c>
      <c r="M79" s="278">
        <f>M25-M78</f>
        <v>-881786.70416488126</v>
      </c>
      <c r="N79" s="278">
        <f>N25-N78</f>
        <v>-4279948.8460548865</v>
      </c>
      <c r="O79" s="290"/>
      <c r="P79" s="290">
        <f>P25-P78</f>
        <v>0</v>
      </c>
      <c r="Q79" s="278">
        <f>Q25-Q78</f>
        <v>3121604.259457767</v>
      </c>
      <c r="R79" s="278">
        <f>R25-R78</f>
        <v>7726756.1558897793</v>
      </c>
      <c r="S79" s="278">
        <f>S25-S78</f>
        <v>4605151.8964320282</v>
      </c>
      <c r="T79" s="290"/>
      <c r="U79" s="290">
        <f>U25-U78</f>
        <v>0</v>
      </c>
      <c r="V79" s="278">
        <f>V25-V78</f>
        <v>13041526.997144729</v>
      </c>
      <c r="W79" s="278">
        <f>W25-W78</f>
        <v>25335336.048440695</v>
      </c>
      <c r="X79" s="278">
        <f>X25-X78</f>
        <v>12293809.051296011</v>
      </c>
      <c r="Y79" s="290"/>
      <c r="Z79" s="290">
        <f>Z25-Z78</f>
        <v>0</v>
      </c>
      <c r="AA79" s="278">
        <f>AA25-AA78</f>
        <v>7503077.4844599962</v>
      </c>
      <c r="AB79" s="278">
        <f>AB25-AB78</f>
        <v>-17832258.563980699</v>
      </c>
      <c r="AC79" s="290"/>
      <c r="AD79" s="175"/>
      <c r="AE79" s="189"/>
    </row>
    <row r="80" spans="1:31" ht="33" customHeight="1" thickBot="1" x14ac:dyDescent="0.35">
      <c r="A80" s="291" t="s">
        <v>171</v>
      </c>
      <c r="B80" s="278"/>
      <c r="C80" s="279"/>
      <c r="D80" s="279">
        <f>C80-B80</f>
        <v>0</v>
      </c>
      <c r="E80" s="280"/>
      <c r="F80" s="175"/>
      <c r="G80" s="281"/>
      <c r="H80" s="282"/>
      <c r="I80" s="279">
        <f>H80-G80</f>
        <v>0</v>
      </c>
      <c r="J80" s="283"/>
      <c r="K80" s="175"/>
      <c r="L80" s="278"/>
      <c r="M80" s="279"/>
      <c r="N80" s="279">
        <f>M80-L80</f>
        <v>0</v>
      </c>
      <c r="O80" s="284"/>
      <c r="P80" s="175"/>
      <c r="Q80" s="281"/>
      <c r="R80" s="282"/>
      <c r="S80" s="279">
        <f>R80-Q80</f>
        <v>0</v>
      </c>
      <c r="T80" s="292"/>
      <c r="U80" s="175"/>
      <c r="V80" s="286"/>
      <c r="W80" s="287"/>
      <c r="X80" s="279"/>
      <c r="Y80" s="284"/>
      <c r="Z80" s="175"/>
      <c r="AA80" s="286"/>
      <c r="AB80" s="279"/>
      <c r="AC80" s="284"/>
      <c r="AD80" s="175"/>
      <c r="AE80" s="189"/>
    </row>
    <row r="81" spans="1:31" ht="38.25" thickBot="1" x14ac:dyDescent="0.35">
      <c r="A81" s="293" t="s">
        <v>172</v>
      </c>
      <c r="B81" s="278">
        <f>B79-B80</f>
        <v>2072370.7541151717</v>
      </c>
      <c r="C81" s="278">
        <f t="shared" ref="C81:AC81" si="41">C79-C80</f>
        <v>9111888.0368152</v>
      </c>
      <c r="D81" s="278">
        <f t="shared" si="41"/>
        <v>7039517.2827000236</v>
      </c>
      <c r="E81" s="289">
        <f>E79-E80</f>
        <v>0</v>
      </c>
      <c r="F81" s="290">
        <f t="shared" si="41"/>
        <v>0</v>
      </c>
      <c r="G81" s="278">
        <f t="shared" si="41"/>
        <v>3928339.5316817686</v>
      </c>
      <c r="H81" s="278">
        <f t="shared" si="41"/>
        <v>9102753.7199006118</v>
      </c>
      <c r="I81" s="278">
        <f t="shared" si="41"/>
        <v>5174414.1882188469</v>
      </c>
      <c r="J81" s="289">
        <f>J79-J80</f>
        <v>0</v>
      </c>
      <c r="K81" s="290">
        <f t="shared" si="41"/>
        <v>0</v>
      </c>
      <c r="L81" s="278">
        <f t="shared" si="41"/>
        <v>3398162.1418900043</v>
      </c>
      <c r="M81" s="278">
        <f t="shared" si="41"/>
        <v>-881786.70416488126</v>
      </c>
      <c r="N81" s="278">
        <f t="shared" si="41"/>
        <v>-4279948.8460548865</v>
      </c>
      <c r="O81" s="290">
        <f t="shared" si="41"/>
        <v>0</v>
      </c>
      <c r="P81" s="290">
        <f t="shared" si="41"/>
        <v>0</v>
      </c>
      <c r="Q81" s="278">
        <f t="shared" si="41"/>
        <v>3121604.259457767</v>
      </c>
      <c r="R81" s="278">
        <f t="shared" si="41"/>
        <v>7726756.1558897793</v>
      </c>
      <c r="S81" s="278">
        <f t="shared" si="41"/>
        <v>4605151.8964320282</v>
      </c>
      <c r="T81" s="290">
        <f t="shared" si="41"/>
        <v>0</v>
      </c>
      <c r="U81" s="290">
        <f t="shared" si="41"/>
        <v>0</v>
      </c>
      <c r="V81" s="278">
        <f>V79-V80</f>
        <v>13041526.997144729</v>
      </c>
      <c r="W81" s="278">
        <f t="shared" si="41"/>
        <v>25335336.048440695</v>
      </c>
      <c r="X81" s="278">
        <f t="shared" si="41"/>
        <v>12293809.051296011</v>
      </c>
      <c r="Y81" s="290">
        <f t="shared" si="41"/>
        <v>0</v>
      </c>
      <c r="Z81" s="290">
        <f t="shared" si="41"/>
        <v>0</v>
      </c>
      <c r="AA81" s="278">
        <f t="shared" si="41"/>
        <v>7503077.4844599962</v>
      </c>
      <c r="AB81" s="278">
        <f>AB79-AB80</f>
        <v>-17832258.563980699</v>
      </c>
      <c r="AC81" s="290">
        <f t="shared" si="41"/>
        <v>0</v>
      </c>
      <c r="AD81" s="175"/>
      <c r="AE81" s="189"/>
    </row>
    <row r="82" spans="1:31" ht="25.5" customHeight="1" x14ac:dyDescent="0.3">
      <c r="A82" s="172" t="s">
        <v>104</v>
      </c>
      <c r="B82" s="224"/>
      <c r="C82" s="219"/>
      <c r="D82" s="219">
        <f>B82-C82</f>
        <v>0</v>
      </c>
      <c r="E82" s="220" t="str">
        <f>IF(ISERROR(D82/B82),"-",D82/B82)</f>
        <v>-</v>
      </c>
      <c r="F82" s="256"/>
      <c r="G82" s="252"/>
      <c r="H82" s="253"/>
      <c r="I82" s="253">
        <f>G82-H82</f>
        <v>0</v>
      </c>
      <c r="J82" s="221" t="str">
        <f>IF(ISERROR(I82/G82),"-",I82/G82)</f>
        <v>-</v>
      </c>
      <c r="K82" s="256"/>
      <c r="L82" s="224"/>
      <c r="M82" s="219"/>
      <c r="N82" s="219">
        <f>L82-M82</f>
        <v>0</v>
      </c>
      <c r="O82" s="294" t="str">
        <f>IF(ISERROR(N82/L82),"-",N82/L82)</f>
        <v>-</v>
      </c>
      <c r="P82" s="256"/>
      <c r="Q82" s="252"/>
      <c r="R82" s="253"/>
      <c r="S82" s="253">
        <f>Q82-R82</f>
        <v>0</v>
      </c>
      <c r="T82" s="295" t="str">
        <f>IF(ISERROR(S82/Q82),"-",S82/Q82)</f>
        <v>-</v>
      </c>
      <c r="U82" s="256"/>
      <c r="V82" s="224">
        <f>B82+G82+L82+Q82</f>
        <v>0</v>
      </c>
      <c r="W82" s="219">
        <f>C82+H82+M82+R82</f>
        <v>0</v>
      </c>
      <c r="X82" s="219">
        <f>V82-W82</f>
        <v>0</v>
      </c>
      <c r="Y82" s="294" t="str">
        <f>IF(ISERROR(X82/V82),"-",X82/V82)</f>
        <v>-</v>
      </c>
      <c r="Z82" s="256"/>
      <c r="AA82" s="224">
        <f>G82+L82+Q82+V82</f>
        <v>0</v>
      </c>
      <c r="AB82" s="219">
        <f>AA82-W82</f>
        <v>0</v>
      </c>
      <c r="AC82" s="294" t="str">
        <f>IF(ISERROR(AB82/AA82),"-",AB82/AA82)</f>
        <v>-</v>
      </c>
      <c r="AD82" s="256"/>
      <c r="AE82" s="189"/>
    </row>
    <row r="83" spans="1:31" ht="29.25" customHeight="1" thickBot="1" x14ac:dyDescent="0.35">
      <c r="A83" s="296" t="s">
        <v>105</v>
      </c>
      <c r="B83" s="297">
        <f>B81-B82</f>
        <v>2072370.7541151717</v>
      </c>
      <c r="C83" s="297">
        <f>C81-C82</f>
        <v>9111888.0368152</v>
      </c>
      <c r="D83" s="298">
        <f>B83-C83</f>
        <v>-7039517.2827000283</v>
      </c>
      <c r="E83" s="299">
        <f>IF(ISERROR(D83/B83),"-",D83/B83)</f>
        <v>-3.3968426106773788</v>
      </c>
      <c r="F83" s="300"/>
      <c r="G83" s="297">
        <f>G81-G82</f>
        <v>3928339.5316817686</v>
      </c>
      <c r="H83" s="297">
        <f>H81-H82</f>
        <v>9102753.7199006118</v>
      </c>
      <c r="I83" s="298">
        <f>G83-H83</f>
        <v>-5174414.1882188432</v>
      </c>
      <c r="J83" s="299">
        <f>IF(ISERROR(I83/G83),"-",I83/G83)</f>
        <v>-1.3172013637027997</v>
      </c>
      <c r="K83" s="300"/>
      <c r="L83" s="297">
        <f>L81-L82</f>
        <v>3398162.1418900043</v>
      </c>
      <c r="M83" s="297">
        <f>M81-M82</f>
        <v>-881786.70416488126</v>
      </c>
      <c r="N83" s="298">
        <f>L83-M83</f>
        <v>4279948.8460548855</v>
      </c>
      <c r="O83" s="299">
        <f>IF(ISERROR(N83/L83),"-",N83/L83)</f>
        <v>1.2594892966685944</v>
      </c>
      <c r="P83" s="300"/>
      <c r="Q83" s="297">
        <f>Q81-Q82</f>
        <v>3121604.259457767</v>
      </c>
      <c r="R83" s="297">
        <f>R81-R82</f>
        <v>7726756.1558897793</v>
      </c>
      <c r="S83" s="298">
        <f>Q83-R83</f>
        <v>-4605151.8964320123</v>
      </c>
      <c r="T83" s="299">
        <f>IF(ISERROR(S83/Q83),"-",S83/Q83)</f>
        <v>-1.4752516698679616</v>
      </c>
      <c r="U83" s="300"/>
      <c r="V83" s="301">
        <f>V81-V82</f>
        <v>13041526.997144729</v>
      </c>
      <c r="W83" s="301">
        <f>W81-W82</f>
        <v>25335336.048440695</v>
      </c>
      <c r="X83" s="302">
        <f>V83-W83</f>
        <v>-12293809.051295966</v>
      </c>
      <c r="Y83" s="303">
        <f>IF(ISERROR(X83/V83),"-",X83/V83)</f>
        <v>-0.94266638055402052</v>
      </c>
      <c r="Z83" s="300"/>
      <c r="AA83" s="301">
        <f>AA81-AA82</f>
        <v>7503077.4844599962</v>
      </c>
      <c r="AB83" s="301">
        <f>AB81-AB82</f>
        <v>-17832258.563980699</v>
      </c>
      <c r="AC83" s="303">
        <f>IF(ISERROR(AB83/AA83),"-",AB83/AA83)</f>
        <v>-2.3766592576064944</v>
      </c>
      <c r="AE83" s="189"/>
    </row>
  </sheetData>
  <sheetProtection algorithmName="SHA-512" hashValue="z1sctmNBsErTmM1TeVpDsuMB1hHypqm0UM8zGdULdZAIOjIAdO9R60shWkNJX0p91slNmNGrOiPLj2zhVqS+AQ==" saltValue="ZsBmCSKVEfD+/nqVVqO7qQ==" spinCount="100000" sheet="1" objects="1" scenarios="1"/>
  <mergeCells count="19">
    <mergeCell ref="AE9:AE11"/>
    <mergeCell ref="D10:E10"/>
    <mergeCell ref="I10:J10"/>
    <mergeCell ref="N10:O10"/>
    <mergeCell ref="S10:T10"/>
    <mergeCell ref="X10:Y10"/>
    <mergeCell ref="AB10:AC10"/>
    <mergeCell ref="B9:E9"/>
    <mergeCell ref="G9:J9"/>
    <mergeCell ref="L9:O9"/>
    <mergeCell ref="Q9:T9"/>
    <mergeCell ref="V9:Y9"/>
    <mergeCell ref="AA9:AC9"/>
    <mergeCell ref="A7:H7"/>
    <mergeCell ref="A1:H1"/>
    <mergeCell ref="A3:H3"/>
    <mergeCell ref="A4:H4"/>
    <mergeCell ref="A5:H5"/>
    <mergeCell ref="A6:H6"/>
  </mergeCells>
  <pageMargins left="0.7" right="0.7" top="0.75" bottom="0.75" header="0.3" footer="0.3"/>
  <pageSetup paperSize="17" scale="43" fitToHeight="0" orientation="landscape" horizontalDpi="300" verticalDpi="300"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59999389629810485"/>
    <pageSetUpPr fitToPage="1"/>
  </sheetPr>
  <dimension ref="A1:F72"/>
  <sheetViews>
    <sheetView topLeftCell="A27" zoomScale="70" zoomScaleNormal="70" workbookViewId="0">
      <selection activeCell="G44" sqref="G44"/>
    </sheetView>
  </sheetViews>
  <sheetFormatPr defaultColWidth="8.85546875" defaultRowHeight="15.75" customHeight="1" x14ac:dyDescent="0.3"/>
  <cols>
    <col min="1" max="1" width="54.5703125" style="49" customWidth="1"/>
    <col min="2" max="2" width="16.42578125" style="716" customWidth="1"/>
    <col min="3" max="3" width="16.85546875" style="716" customWidth="1"/>
    <col min="4" max="4" width="18.140625" style="716" customWidth="1"/>
    <col min="5" max="5" width="17" style="716" customWidth="1"/>
    <col min="6" max="6" width="17.42578125" style="716" customWidth="1"/>
    <col min="7" max="231" width="8.85546875" style="49" customWidth="1"/>
    <col min="232" max="16384" width="8.85546875" style="49"/>
  </cols>
  <sheetData>
    <row r="1" spans="1:6" ht="18.75" customHeight="1" x14ac:dyDescent="0.3">
      <c r="A1" s="1418" t="s">
        <v>49</v>
      </c>
      <c r="B1" s="1419"/>
      <c r="C1" s="1419"/>
      <c r="D1" s="1419"/>
      <c r="E1" s="1419"/>
      <c r="F1" s="1419"/>
    </row>
    <row r="2" spans="1:6" ht="18.75" customHeight="1" x14ac:dyDescent="0.3">
      <c r="A2" s="50"/>
      <c r="B2" s="418"/>
      <c r="C2" s="418"/>
      <c r="D2" s="418"/>
      <c r="E2" s="418"/>
      <c r="F2" s="418"/>
    </row>
    <row r="3" spans="1:6" s="52" customFormat="1" ht="18.75" customHeight="1" x14ac:dyDescent="0.3">
      <c r="A3" s="1420" t="s">
        <v>187</v>
      </c>
      <c r="B3" s="1421"/>
      <c r="C3" s="1421"/>
      <c r="D3" s="1421"/>
      <c r="E3" s="1421"/>
      <c r="F3" s="1421"/>
    </row>
    <row r="4" spans="1:6" ht="18.75" customHeight="1" x14ac:dyDescent="0.3">
      <c r="A4" s="1422" t="s">
        <v>0</v>
      </c>
      <c r="B4" s="1423"/>
      <c r="C4" s="1423"/>
      <c r="D4" s="1423"/>
      <c r="E4" s="1423"/>
      <c r="F4" s="1423"/>
    </row>
    <row r="5" spans="1:6" ht="18.75" customHeight="1" x14ac:dyDescent="0.3">
      <c r="A5" s="1422" t="s">
        <v>1</v>
      </c>
      <c r="B5" s="1424"/>
      <c r="C5" s="1424"/>
      <c r="D5" s="1424"/>
      <c r="E5" s="1424"/>
      <c r="F5" s="1424"/>
    </row>
    <row r="6" spans="1:6" ht="18.75" customHeight="1" x14ac:dyDescent="0.3">
      <c r="A6" s="1420" t="s">
        <v>194</v>
      </c>
      <c r="B6" s="1425"/>
      <c r="C6" s="1425"/>
      <c r="D6" s="1425"/>
      <c r="E6" s="1425"/>
      <c r="F6" s="1425"/>
    </row>
    <row r="7" spans="1:6" ht="18.75" customHeight="1" x14ac:dyDescent="0.3">
      <c r="A7" s="1416" t="s">
        <v>2</v>
      </c>
      <c r="B7" s="1417"/>
      <c r="C7" s="1417"/>
      <c r="D7" s="1417"/>
      <c r="E7" s="1417"/>
      <c r="F7" s="1417"/>
    </row>
    <row r="8" spans="1:6" ht="16.5" customHeight="1" thickBot="1" x14ac:dyDescent="0.35">
      <c r="A8" s="309"/>
      <c r="B8" s="707"/>
      <c r="C8" s="708"/>
      <c r="D8" s="707"/>
      <c r="E8" s="708"/>
      <c r="F8" s="707"/>
    </row>
    <row r="9" spans="1:6" ht="17.45" customHeight="1" x14ac:dyDescent="0.3">
      <c r="A9" s="312"/>
      <c r="B9" s="576" t="s">
        <v>164</v>
      </c>
      <c r="C9" s="577" t="s">
        <v>165</v>
      </c>
      <c r="D9" s="576" t="s">
        <v>166</v>
      </c>
      <c r="E9" s="577" t="s">
        <v>167</v>
      </c>
      <c r="F9" s="576" t="s">
        <v>3</v>
      </c>
    </row>
    <row r="10" spans="1:6" ht="15" customHeight="1" x14ac:dyDescent="0.3">
      <c r="A10" s="314"/>
      <c r="B10" s="59">
        <v>44927</v>
      </c>
      <c r="C10" s="315">
        <v>45016</v>
      </c>
      <c r="D10" s="59">
        <v>45107</v>
      </c>
      <c r="E10" s="315">
        <v>45199</v>
      </c>
      <c r="F10" s="59">
        <v>45291</v>
      </c>
    </row>
    <row r="11" spans="1:6" ht="15" customHeight="1" thickBot="1" x14ac:dyDescent="0.35">
      <c r="A11" s="316"/>
      <c r="B11" s="578" t="s">
        <v>107</v>
      </c>
      <c r="C11" s="579" t="s">
        <v>107</v>
      </c>
      <c r="D11" s="578" t="s">
        <v>107</v>
      </c>
      <c r="E11" s="579" t="s">
        <v>107</v>
      </c>
      <c r="F11" s="578" t="s">
        <v>107</v>
      </c>
    </row>
    <row r="12" spans="1:6" ht="15" customHeight="1" x14ac:dyDescent="0.3">
      <c r="A12" s="319" t="s">
        <v>4</v>
      </c>
      <c r="B12" s="709"/>
      <c r="C12" s="710"/>
      <c r="D12" s="709"/>
      <c r="E12" s="710"/>
      <c r="F12" s="823"/>
    </row>
    <row r="13" spans="1:6" ht="15" customHeight="1" x14ac:dyDescent="0.3">
      <c r="A13" s="322" t="s">
        <v>5</v>
      </c>
      <c r="B13" s="711"/>
      <c r="C13" s="712"/>
      <c r="D13" s="711"/>
      <c r="E13" s="712"/>
      <c r="F13" s="824"/>
    </row>
    <row r="14" spans="1:6" ht="15" customHeight="1" x14ac:dyDescent="0.3">
      <c r="A14" s="324" t="s">
        <v>6</v>
      </c>
      <c r="B14" s="711">
        <v>16501681.029999999</v>
      </c>
      <c r="C14" s="711">
        <v>19739725.140000001</v>
      </c>
      <c r="D14" s="711">
        <v>11556384.310000001</v>
      </c>
      <c r="E14" s="711">
        <v>18542518.5</v>
      </c>
      <c r="F14" s="711">
        <v>14624066.57</v>
      </c>
    </row>
    <row r="15" spans="1:6" ht="15" customHeight="1" x14ac:dyDescent="0.3">
      <c r="A15" s="325" t="s">
        <v>7</v>
      </c>
      <c r="B15" s="713">
        <v>5367110.24</v>
      </c>
      <c r="C15" s="711">
        <v>4900349.42</v>
      </c>
      <c r="D15" s="711">
        <v>3918663.9</v>
      </c>
      <c r="E15" s="711">
        <v>3540085.33</v>
      </c>
      <c r="F15" s="711">
        <v>4116498.56</v>
      </c>
    </row>
    <row r="16" spans="1:6" ht="15" customHeight="1" x14ac:dyDescent="0.3">
      <c r="A16" s="325" t="s">
        <v>8</v>
      </c>
      <c r="B16" s="711">
        <v>3005879.4</v>
      </c>
      <c r="C16" s="711">
        <v>2937186.86</v>
      </c>
      <c r="D16" s="711">
        <v>3191321.96</v>
      </c>
      <c r="E16" s="711">
        <v>3529216.96</v>
      </c>
      <c r="F16" s="711">
        <v>3352132.13</v>
      </c>
    </row>
    <row r="17" spans="1:6" ht="15" customHeight="1" x14ac:dyDescent="0.3">
      <c r="A17" s="325" t="s">
        <v>9</v>
      </c>
      <c r="B17" s="711">
        <v>-10964.4</v>
      </c>
      <c r="C17" s="711">
        <v>-1357.03</v>
      </c>
      <c r="D17" s="711">
        <v>-2612.7399999999998</v>
      </c>
      <c r="E17" s="711">
        <v>-525.84</v>
      </c>
      <c r="F17" s="711">
        <v>21233.42</v>
      </c>
    </row>
    <row r="18" spans="1:6" ht="15" customHeight="1" x14ac:dyDescent="0.3">
      <c r="A18" s="325" t="s">
        <v>10</v>
      </c>
      <c r="B18" s="711">
        <v>1029626.23</v>
      </c>
      <c r="C18" s="711">
        <v>1046207.7000000002</v>
      </c>
      <c r="D18" s="711">
        <v>1110968.46</v>
      </c>
      <c r="E18" s="711">
        <v>1547069.4199999995</v>
      </c>
      <c r="F18" s="711">
        <v>3199092.7</v>
      </c>
    </row>
    <row r="19" spans="1:6" ht="15" customHeight="1" x14ac:dyDescent="0.3">
      <c r="A19" s="326" t="s">
        <v>11</v>
      </c>
      <c r="B19" s="383">
        <v>141827.71</v>
      </c>
      <c r="C19" s="383">
        <v>151645.70000000001</v>
      </c>
      <c r="D19" s="711">
        <v>168358.39999999999</v>
      </c>
      <c r="E19" s="711">
        <v>97555.8</v>
      </c>
      <c r="F19" s="711">
        <v>97626.4</v>
      </c>
    </row>
    <row r="20" spans="1:6" ht="15" customHeight="1" x14ac:dyDescent="0.3">
      <c r="A20" s="327" t="s">
        <v>12</v>
      </c>
      <c r="B20" s="377">
        <f>SUM(B14:B19)</f>
        <v>26035160.210000001</v>
      </c>
      <c r="C20" s="377">
        <f t="shared" ref="C20:F20" si="0">SUM(C14:C19)</f>
        <v>28773757.789999999</v>
      </c>
      <c r="D20" s="377">
        <f t="shared" si="0"/>
        <v>19943084.290000003</v>
      </c>
      <c r="E20" s="377">
        <f t="shared" si="0"/>
        <v>27255920.169999998</v>
      </c>
      <c r="F20" s="377">
        <f t="shared" si="0"/>
        <v>25410649.779999997</v>
      </c>
    </row>
    <row r="21" spans="1:6" ht="15" customHeight="1" x14ac:dyDescent="0.3">
      <c r="A21" s="328"/>
      <c r="B21" s="714"/>
      <c r="C21" s="715"/>
      <c r="D21" s="714"/>
      <c r="E21" s="715"/>
      <c r="F21" s="825"/>
    </row>
    <row r="22" spans="1:6" ht="15" customHeight="1" x14ac:dyDescent="0.3">
      <c r="A22" s="329" t="s">
        <v>13</v>
      </c>
      <c r="B22" s="711"/>
      <c r="C22" s="712"/>
      <c r="D22" s="711"/>
      <c r="E22" s="712"/>
      <c r="F22" s="824"/>
    </row>
    <row r="23" spans="1:6" ht="15" customHeight="1" x14ac:dyDescent="0.3">
      <c r="A23" s="325" t="s">
        <v>14</v>
      </c>
      <c r="B23" s="711">
        <v>0</v>
      </c>
      <c r="C23" s="711">
        <v>0</v>
      </c>
      <c r="D23" s="711">
        <v>0</v>
      </c>
      <c r="E23" s="711">
        <v>0</v>
      </c>
      <c r="F23" s="711">
        <v>0</v>
      </c>
    </row>
    <row r="24" spans="1:6" ht="15" customHeight="1" x14ac:dyDescent="0.3">
      <c r="A24" s="325" t="s">
        <v>15</v>
      </c>
      <c r="B24" s="711">
        <v>22518164.120000001</v>
      </c>
      <c r="C24" s="711">
        <v>22483295.210000001</v>
      </c>
      <c r="D24" s="711">
        <v>22464297.699999999</v>
      </c>
      <c r="E24" s="711">
        <v>22252237.77</v>
      </c>
      <c r="F24" s="711">
        <v>22226511.68</v>
      </c>
    </row>
    <row r="25" spans="1:6" ht="15" customHeight="1" x14ac:dyDescent="0.3">
      <c r="A25" s="325" t="s">
        <v>16</v>
      </c>
      <c r="B25" s="711">
        <v>94547879.529999986</v>
      </c>
      <c r="C25" s="711">
        <v>98561419.889999986</v>
      </c>
      <c r="D25" s="711">
        <v>113681132.22</v>
      </c>
      <c r="E25" s="711">
        <v>111676682.31999999</v>
      </c>
      <c r="F25" s="711">
        <v>120600253.31</v>
      </c>
    </row>
    <row r="26" spans="1:6" ht="15" customHeight="1" x14ac:dyDescent="0.3">
      <c r="A26" s="325" t="s">
        <v>17</v>
      </c>
      <c r="B26" s="711">
        <v>25029243.280000005</v>
      </c>
      <c r="C26" s="711">
        <v>25076186.649999995</v>
      </c>
      <c r="D26" s="711">
        <v>25076466.710000001</v>
      </c>
      <c r="E26" s="711">
        <v>25240275.73</v>
      </c>
      <c r="F26" s="711">
        <v>25067536.199999999</v>
      </c>
    </row>
    <row r="27" spans="1:6" ht="15" customHeight="1" x14ac:dyDescent="0.3">
      <c r="A27" s="325" t="s">
        <v>119</v>
      </c>
      <c r="B27" s="711">
        <v>12078.13</v>
      </c>
      <c r="C27" s="711">
        <v>9664.5300000000007</v>
      </c>
      <c r="D27" s="711">
        <v>9414.5400000000009</v>
      </c>
      <c r="E27" s="711">
        <v>8504.49</v>
      </c>
      <c r="F27" s="711">
        <v>8254.5</v>
      </c>
    </row>
    <row r="28" spans="1:6" ht="15" customHeight="1" x14ac:dyDescent="0.3">
      <c r="A28" s="325" t="s">
        <v>118</v>
      </c>
      <c r="B28" s="711">
        <v>191518398.81999999</v>
      </c>
      <c r="C28" s="711">
        <v>188843398.81999999</v>
      </c>
      <c r="D28" s="711">
        <v>186168398.81999999</v>
      </c>
      <c r="E28" s="711">
        <v>183036764.83000001</v>
      </c>
      <c r="F28" s="711">
        <v>183036764.83000001</v>
      </c>
    </row>
    <row r="29" spans="1:6" ht="15" customHeight="1" x14ac:dyDescent="0.3">
      <c r="A29" s="326" t="s">
        <v>18</v>
      </c>
      <c r="B29" s="383">
        <v>5449135.4500000002</v>
      </c>
      <c r="C29" s="383">
        <v>5449135.4500000002</v>
      </c>
      <c r="D29" s="711">
        <v>5449135.4500000002</v>
      </c>
      <c r="E29" s="711">
        <v>5443370.9299999997</v>
      </c>
      <c r="F29" s="711">
        <v>5443370.9299999997</v>
      </c>
    </row>
    <row r="30" spans="1:6" ht="15" customHeight="1" x14ac:dyDescent="0.3">
      <c r="A30" s="327" t="s">
        <v>19</v>
      </c>
      <c r="B30" s="377">
        <f>SUM(B23:B29)</f>
        <v>339074899.32999998</v>
      </c>
      <c r="C30" s="377">
        <f t="shared" ref="C30:F30" si="1">SUM(C23:C29)</f>
        <v>340423100.55000001</v>
      </c>
      <c r="D30" s="377">
        <f t="shared" si="1"/>
        <v>352848845.44</v>
      </c>
      <c r="E30" s="377">
        <f t="shared" si="1"/>
        <v>347657836.06999999</v>
      </c>
      <c r="F30" s="377">
        <f t="shared" si="1"/>
        <v>356382691.44999999</v>
      </c>
    </row>
    <row r="31" spans="1:6" ht="15" customHeight="1" x14ac:dyDescent="0.3">
      <c r="A31" s="328"/>
      <c r="B31" s="714"/>
      <c r="C31" s="715"/>
      <c r="D31" s="714"/>
      <c r="E31" s="715"/>
      <c r="F31" s="825"/>
    </row>
    <row r="32" spans="1:6" ht="15" customHeight="1" x14ac:dyDescent="0.3">
      <c r="A32" s="329" t="s">
        <v>20</v>
      </c>
      <c r="B32" s="401"/>
      <c r="D32" s="401"/>
      <c r="F32" s="826"/>
    </row>
    <row r="33" spans="1:6" ht="15" customHeight="1" x14ac:dyDescent="0.3">
      <c r="A33" s="306" t="s">
        <v>21</v>
      </c>
      <c r="B33" s="401">
        <v>5833311.79</v>
      </c>
      <c r="C33" s="401">
        <v>5833311.79</v>
      </c>
      <c r="D33" s="711">
        <v>5833954.29</v>
      </c>
      <c r="E33" s="711">
        <v>5839745.79</v>
      </c>
      <c r="F33" s="711">
        <v>5839745.79</v>
      </c>
    </row>
    <row r="34" spans="1:6" ht="15" customHeight="1" x14ac:dyDescent="0.3">
      <c r="A34" s="306" t="s">
        <v>22</v>
      </c>
      <c r="B34" s="401">
        <v>438245.19999999995</v>
      </c>
      <c r="C34" s="401">
        <v>438245.19999999995</v>
      </c>
      <c r="D34" s="711">
        <v>438245.2</v>
      </c>
      <c r="E34" s="711">
        <v>448451.82</v>
      </c>
      <c r="F34" s="711">
        <v>451812.07</v>
      </c>
    </row>
    <row r="35" spans="1:6" ht="15" customHeight="1" x14ac:dyDescent="0.3">
      <c r="A35" s="306" t="s">
        <v>23</v>
      </c>
      <c r="B35" s="401">
        <v>0</v>
      </c>
      <c r="C35" s="401">
        <v>0</v>
      </c>
      <c r="D35" s="711">
        <v>0</v>
      </c>
      <c r="E35" s="711">
        <v>0</v>
      </c>
      <c r="F35" s="711">
        <v>0</v>
      </c>
    </row>
    <row r="36" spans="1:6" ht="15" customHeight="1" x14ac:dyDescent="0.3">
      <c r="A36" s="306" t="s">
        <v>24</v>
      </c>
      <c r="B36" s="401">
        <v>44123.880000000005</v>
      </c>
      <c r="C36" s="401">
        <v>44123.880000000005</v>
      </c>
      <c r="D36" s="711">
        <v>44259.38</v>
      </c>
      <c r="E36" s="711">
        <v>58753.3</v>
      </c>
      <c r="F36" s="711">
        <v>63122.92</v>
      </c>
    </row>
    <row r="37" spans="1:6" ht="15" customHeight="1" x14ac:dyDescent="0.3">
      <c r="A37" s="306" t="s">
        <v>25</v>
      </c>
      <c r="B37" s="401">
        <v>24329.859999999986</v>
      </c>
      <c r="C37" s="401">
        <v>24329.859999999986</v>
      </c>
      <c r="D37" s="711">
        <v>24329.86</v>
      </c>
      <c r="E37" s="711">
        <v>23978.36</v>
      </c>
      <c r="F37" s="711">
        <v>23978.36</v>
      </c>
    </row>
    <row r="38" spans="1:6" ht="15" customHeight="1" x14ac:dyDescent="0.3">
      <c r="A38" s="307" t="s">
        <v>26</v>
      </c>
      <c r="B38" s="405">
        <v>2915116.5500000003</v>
      </c>
      <c r="C38" s="405">
        <v>2915116.55</v>
      </c>
      <c r="D38" s="711">
        <v>2916083.63</v>
      </c>
      <c r="E38" s="711">
        <v>2916083.63</v>
      </c>
      <c r="F38" s="711">
        <v>2914947.49</v>
      </c>
    </row>
    <row r="39" spans="1:6" ht="15" customHeight="1" x14ac:dyDescent="0.3">
      <c r="A39" s="327" t="s">
        <v>27</v>
      </c>
      <c r="B39" s="377">
        <f>SUM(B33:B38)</f>
        <v>9255127.2800000012</v>
      </c>
      <c r="C39" s="377">
        <f t="shared" ref="C39:F39" si="2">SUM(C33:C38)</f>
        <v>9255127.2800000012</v>
      </c>
      <c r="D39" s="377">
        <f t="shared" si="2"/>
        <v>9256872.3599999994</v>
      </c>
      <c r="E39" s="377">
        <f t="shared" si="2"/>
        <v>9287012.9000000004</v>
      </c>
      <c r="F39" s="377">
        <f t="shared" si="2"/>
        <v>9293606.6300000008</v>
      </c>
    </row>
    <row r="40" spans="1:6" ht="15" customHeight="1" x14ac:dyDescent="0.3">
      <c r="A40" s="330"/>
      <c r="B40" s="717"/>
      <c r="C40" s="718"/>
      <c r="D40" s="717"/>
      <c r="E40" s="718"/>
      <c r="F40" s="827"/>
    </row>
    <row r="41" spans="1:6" ht="15" customHeight="1" x14ac:dyDescent="0.3">
      <c r="A41" s="322" t="s">
        <v>28</v>
      </c>
      <c r="B41" s="719">
        <v>1329839.6600000001</v>
      </c>
      <c r="C41" s="719">
        <v>1329839.6600000001</v>
      </c>
      <c r="D41" s="719">
        <v>1329839.6599999999</v>
      </c>
      <c r="E41" s="719">
        <v>1389188.92</v>
      </c>
      <c r="F41" s="719">
        <v>1389188.92</v>
      </c>
    </row>
    <row r="42" spans="1:6" ht="15" customHeight="1" x14ac:dyDescent="0.3">
      <c r="A42" s="331"/>
      <c r="B42" s="405"/>
      <c r="C42" s="720"/>
      <c r="D42" s="405"/>
      <c r="E42" s="720"/>
      <c r="F42" s="828"/>
    </row>
    <row r="43" spans="1:6" ht="15" customHeight="1" x14ac:dyDescent="0.3">
      <c r="A43" s="327" t="s">
        <v>29</v>
      </c>
      <c r="B43" s="377">
        <f>SUM(B20+B30+B39+B41)</f>
        <v>375695026.47999996</v>
      </c>
      <c r="C43" s="377">
        <f t="shared" ref="C43:F43" si="3">SUM(C20+C30+C39+C41)</f>
        <v>379781825.28000003</v>
      </c>
      <c r="D43" s="377">
        <f t="shared" si="3"/>
        <v>383378641.75000006</v>
      </c>
      <c r="E43" s="377">
        <f t="shared" si="3"/>
        <v>385589958.06</v>
      </c>
      <c r="F43" s="377">
        <f t="shared" si="3"/>
        <v>392476136.77999997</v>
      </c>
    </row>
    <row r="44" spans="1:6" ht="15" customHeight="1" x14ac:dyDescent="0.3">
      <c r="A44" s="332"/>
      <c r="B44" s="721"/>
      <c r="C44" s="722"/>
      <c r="D44" s="721"/>
      <c r="E44" s="722"/>
      <c r="F44" s="829"/>
    </row>
    <row r="45" spans="1:6" ht="15" customHeight="1" x14ac:dyDescent="0.3">
      <c r="A45" s="322" t="s">
        <v>30</v>
      </c>
      <c r="B45" s="401"/>
      <c r="D45" s="401"/>
      <c r="F45" s="826"/>
    </row>
    <row r="46" spans="1:6" ht="15" customHeight="1" x14ac:dyDescent="0.3">
      <c r="A46" s="333"/>
      <c r="B46" s="401"/>
      <c r="D46" s="401"/>
      <c r="F46" s="826"/>
    </row>
    <row r="47" spans="1:6" ht="15" customHeight="1" x14ac:dyDescent="0.3">
      <c r="A47" s="322" t="s">
        <v>31</v>
      </c>
      <c r="B47" s="711"/>
      <c r="C47" s="712"/>
      <c r="D47" s="711"/>
      <c r="E47" s="712"/>
      <c r="F47" s="824"/>
    </row>
    <row r="48" spans="1:6" ht="15" customHeight="1" x14ac:dyDescent="0.3">
      <c r="A48" s="306" t="s">
        <v>32</v>
      </c>
      <c r="B48" s="401">
        <v>3865775.55</v>
      </c>
      <c r="C48" s="401">
        <v>2855466.7</v>
      </c>
      <c r="D48" s="711">
        <v>2570468.69</v>
      </c>
      <c r="E48" s="711">
        <v>2705371.99</v>
      </c>
      <c r="F48" s="711">
        <v>3124665.13</v>
      </c>
    </row>
    <row r="49" spans="1:6" ht="15" customHeight="1" x14ac:dyDescent="0.3">
      <c r="A49" s="334" t="s">
        <v>50</v>
      </c>
      <c r="B49" s="401">
        <v>0</v>
      </c>
      <c r="C49" s="401">
        <v>0</v>
      </c>
      <c r="D49" s="711">
        <v>0</v>
      </c>
      <c r="E49" s="711">
        <v>0</v>
      </c>
      <c r="F49" s="711">
        <v>0</v>
      </c>
    </row>
    <row r="50" spans="1:6" ht="15" customHeight="1" x14ac:dyDescent="0.3">
      <c r="A50" s="334" t="s">
        <v>168</v>
      </c>
      <c r="B50" s="401">
        <v>11239.39</v>
      </c>
      <c r="C50" s="401">
        <v>9937.89</v>
      </c>
      <c r="D50" s="711">
        <v>10052.65</v>
      </c>
      <c r="E50" s="711">
        <v>9883.6200000000008</v>
      </c>
      <c r="F50" s="711">
        <v>9847.34</v>
      </c>
    </row>
    <row r="51" spans="1:6" ht="15" customHeight="1" x14ac:dyDescent="0.3">
      <c r="A51" s="334" t="s">
        <v>109</v>
      </c>
      <c r="B51" s="401">
        <v>0</v>
      </c>
      <c r="C51" s="401">
        <v>0</v>
      </c>
      <c r="D51" s="711">
        <v>0</v>
      </c>
      <c r="E51" s="711">
        <v>0</v>
      </c>
      <c r="F51" s="711">
        <v>0</v>
      </c>
    </row>
    <row r="52" spans="1:6" ht="15" customHeight="1" x14ac:dyDescent="0.3">
      <c r="A52" s="334" t="s">
        <v>33</v>
      </c>
      <c r="B52" s="401">
        <v>0</v>
      </c>
      <c r="C52" s="401">
        <v>0</v>
      </c>
      <c r="D52" s="711">
        <v>0</v>
      </c>
      <c r="E52" s="711">
        <v>0</v>
      </c>
      <c r="F52" s="711">
        <v>0</v>
      </c>
    </row>
    <row r="53" spans="1:6" ht="15" customHeight="1" x14ac:dyDescent="0.3">
      <c r="A53" s="334" t="s">
        <v>34</v>
      </c>
      <c r="B53" s="401">
        <v>0</v>
      </c>
      <c r="C53" s="401">
        <v>0</v>
      </c>
      <c r="D53" s="711">
        <v>0</v>
      </c>
      <c r="E53" s="711">
        <v>0</v>
      </c>
      <c r="F53" s="711">
        <v>0</v>
      </c>
    </row>
    <row r="54" spans="1:6" ht="15" customHeight="1" x14ac:dyDescent="0.3">
      <c r="A54" s="306" t="s">
        <v>35</v>
      </c>
      <c r="B54" s="401">
        <v>0</v>
      </c>
      <c r="C54" s="401">
        <v>0</v>
      </c>
      <c r="D54" s="711">
        <v>0</v>
      </c>
      <c r="E54" s="711">
        <v>0</v>
      </c>
      <c r="F54" s="711">
        <v>0</v>
      </c>
    </row>
    <row r="55" spans="1:6" ht="15" customHeight="1" x14ac:dyDescent="0.3">
      <c r="A55" s="306" t="s">
        <v>36</v>
      </c>
      <c r="B55" s="401">
        <v>0</v>
      </c>
      <c r="C55" s="401">
        <v>0</v>
      </c>
      <c r="D55" s="711">
        <v>0</v>
      </c>
      <c r="E55" s="711">
        <v>0</v>
      </c>
      <c r="F55" s="711">
        <v>0</v>
      </c>
    </row>
    <row r="56" spans="1:6" ht="15" customHeight="1" x14ac:dyDescent="0.3">
      <c r="A56" s="307" t="s">
        <v>37</v>
      </c>
      <c r="B56" s="405">
        <v>69907.11</v>
      </c>
      <c r="C56" s="405">
        <v>479417.75</v>
      </c>
      <c r="D56" s="711">
        <v>96577.16</v>
      </c>
      <c r="E56" s="711">
        <v>687713.58</v>
      </c>
      <c r="F56" s="711">
        <v>122963.29</v>
      </c>
    </row>
    <row r="57" spans="1:6" ht="15" customHeight="1" x14ac:dyDescent="0.3">
      <c r="A57" s="327" t="s">
        <v>38</v>
      </c>
      <c r="B57" s="377">
        <f>SUM(B48:B56)</f>
        <v>3946922.05</v>
      </c>
      <c r="C57" s="377">
        <f t="shared" ref="C57:F57" si="4">SUM(C48:C56)</f>
        <v>3344822.3400000003</v>
      </c>
      <c r="D57" s="377">
        <f t="shared" si="4"/>
        <v>2677098.5</v>
      </c>
      <c r="E57" s="377">
        <f t="shared" si="4"/>
        <v>3402969.1900000004</v>
      </c>
      <c r="F57" s="377">
        <f t="shared" si="4"/>
        <v>3257475.76</v>
      </c>
    </row>
    <row r="58" spans="1:6" ht="15" customHeight="1" x14ac:dyDescent="0.3">
      <c r="A58" s="335"/>
      <c r="B58" s="714"/>
      <c r="C58" s="715"/>
      <c r="D58" s="714"/>
      <c r="E58" s="715"/>
      <c r="F58" s="825"/>
    </row>
    <row r="59" spans="1:6" ht="15" customHeight="1" x14ac:dyDescent="0.3">
      <c r="A59" s="322" t="s">
        <v>39</v>
      </c>
      <c r="B59" s="401"/>
      <c r="D59" s="401"/>
      <c r="F59" s="826"/>
    </row>
    <row r="60" spans="1:6" ht="15" customHeight="1" x14ac:dyDescent="0.3">
      <c r="A60" s="306" t="s">
        <v>117</v>
      </c>
      <c r="B60" s="401">
        <v>0</v>
      </c>
      <c r="C60" s="401">
        <v>0</v>
      </c>
      <c r="D60" s="711">
        <v>0</v>
      </c>
      <c r="E60" s="711">
        <v>0</v>
      </c>
      <c r="F60" s="711">
        <v>0</v>
      </c>
    </row>
    <row r="61" spans="1:6" ht="15" customHeight="1" x14ac:dyDescent="0.3">
      <c r="A61" s="306" t="s">
        <v>40</v>
      </c>
      <c r="B61" s="401">
        <v>9461144</v>
      </c>
      <c r="C61" s="401">
        <v>9311144</v>
      </c>
      <c r="D61" s="711">
        <v>9111144</v>
      </c>
      <c r="E61" s="711">
        <v>10268557</v>
      </c>
      <c r="F61" s="711">
        <v>10118557</v>
      </c>
    </row>
    <row r="62" spans="1:6" ht="15" customHeight="1" x14ac:dyDescent="0.3">
      <c r="A62" s="308"/>
      <c r="B62" s="405"/>
      <c r="C62" s="720"/>
      <c r="D62" s="405"/>
      <c r="E62" s="720"/>
      <c r="F62" s="828"/>
    </row>
    <row r="63" spans="1:6" ht="15" customHeight="1" x14ac:dyDescent="0.3">
      <c r="A63" s="327" t="s">
        <v>41</v>
      </c>
      <c r="B63" s="377">
        <f>SUM(B60:B61)</f>
        <v>9461144</v>
      </c>
      <c r="C63" s="377">
        <f t="shared" ref="C63:F63" si="5">SUM(C60:C61)</f>
        <v>9311144</v>
      </c>
      <c r="D63" s="377">
        <f t="shared" si="5"/>
        <v>9111144</v>
      </c>
      <c r="E63" s="377">
        <f t="shared" si="5"/>
        <v>10268557</v>
      </c>
      <c r="F63" s="377">
        <f t="shared" si="5"/>
        <v>10118557</v>
      </c>
    </row>
    <row r="64" spans="1:6" ht="15" customHeight="1" x14ac:dyDescent="0.3">
      <c r="A64" s="335"/>
      <c r="B64" s="714"/>
      <c r="C64" s="715"/>
      <c r="D64" s="714"/>
      <c r="E64" s="715"/>
      <c r="F64" s="825"/>
    </row>
    <row r="65" spans="1:6" ht="15" customHeight="1" x14ac:dyDescent="0.3">
      <c r="A65" s="322" t="s">
        <v>42</v>
      </c>
      <c r="B65" s="401"/>
      <c r="D65" s="401"/>
      <c r="F65" s="826"/>
    </row>
    <row r="66" spans="1:6" ht="15" customHeight="1" x14ac:dyDescent="0.3">
      <c r="A66" s="306" t="s">
        <v>43</v>
      </c>
      <c r="B66" s="401">
        <v>368852437.99000001</v>
      </c>
      <c r="C66" s="401">
        <v>359845916.11000001</v>
      </c>
      <c r="D66" s="711">
        <v>359845916.11000001</v>
      </c>
      <c r="E66" s="711">
        <v>360254699.75</v>
      </c>
      <c r="F66" s="711">
        <v>360254699.75</v>
      </c>
    </row>
    <row r="67" spans="1:6" ht="15" customHeight="1" x14ac:dyDescent="0.3">
      <c r="A67" s="306" t="s">
        <v>44</v>
      </c>
      <c r="B67" s="401">
        <v>0</v>
      </c>
      <c r="C67" s="401">
        <v>0</v>
      </c>
      <c r="D67" s="711">
        <v>0</v>
      </c>
      <c r="E67" s="711">
        <v>0</v>
      </c>
      <c r="F67" s="711">
        <v>0</v>
      </c>
    </row>
    <row r="68" spans="1:6" ht="15" customHeight="1" x14ac:dyDescent="0.3">
      <c r="A68" s="306" t="s">
        <v>45</v>
      </c>
      <c r="B68" s="401">
        <v>2441044.33</v>
      </c>
      <c r="C68" s="401">
        <v>2441044.33</v>
      </c>
      <c r="D68" s="711">
        <v>2441044.33</v>
      </c>
      <c r="E68" s="711">
        <v>2246605.04</v>
      </c>
      <c r="F68" s="711">
        <v>2246605.04</v>
      </c>
    </row>
    <row r="69" spans="1:6" ht="15" customHeight="1" x14ac:dyDescent="0.3">
      <c r="A69" s="307" t="s">
        <v>46</v>
      </c>
      <c r="B69" s="405">
        <v>-9006521.8900000006</v>
      </c>
      <c r="C69" s="405">
        <v>4838898.5</v>
      </c>
      <c r="D69" s="711">
        <v>9303438.8100000005</v>
      </c>
      <c r="E69" s="711">
        <v>9415990.9400000051</v>
      </c>
      <c r="F69" s="711">
        <v>16598799.23</v>
      </c>
    </row>
    <row r="70" spans="1:6" ht="15" customHeight="1" x14ac:dyDescent="0.3">
      <c r="A70" s="327" t="s">
        <v>47</v>
      </c>
      <c r="B70" s="377">
        <f>SUM(B66:B69)</f>
        <v>362286960.43000001</v>
      </c>
      <c r="C70" s="377">
        <f t="shared" ref="C70:F70" si="6">SUM(C66:C69)</f>
        <v>367125858.94</v>
      </c>
      <c r="D70" s="377">
        <f t="shared" si="6"/>
        <v>371590399.25</v>
      </c>
      <c r="E70" s="377">
        <f t="shared" si="6"/>
        <v>371917295.73000002</v>
      </c>
      <c r="F70" s="377">
        <f t="shared" si="6"/>
        <v>379100104.02000004</v>
      </c>
    </row>
    <row r="71" spans="1:6" ht="15.75" customHeight="1" x14ac:dyDescent="0.3">
      <c r="A71" s="336"/>
      <c r="B71" s="723"/>
      <c r="C71" s="724"/>
      <c r="D71" s="723"/>
      <c r="E71" s="724"/>
      <c r="F71" s="830"/>
    </row>
    <row r="72" spans="1:6" ht="16.5" customHeight="1" thickBot="1" x14ac:dyDescent="0.35">
      <c r="A72" s="337" t="s">
        <v>48</v>
      </c>
      <c r="B72" s="725">
        <f>SUM(B57+B63+B70)</f>
        <v>375695026.48000002</v>
      </c>
      <c r="C72" s="725">
        <f t="shared" ref="C72:F72" si="7">SUM(C57+C63+C70)</f>
        <v>379781825.27999997</v>
      </c>
      <c r="D72" s="725">
        <f t="shared" si="7"/>
        <v>383378641.75</v>
      </c>
      <c r="E72" s="725">
        <f t="shared" si="7"/>
        <v>385588821.92000002</v>
      </c>
      <c r="F72" s="725">
        <f t="shared" si="7"/>
        <v>392476136.78000003</v>
      </c>
    </row>
  </sheetData>
  <sheetProtection algorithmName="SHA-512" hashValue="DOtvEhJF8bWW4iWlOhqLNBSwlTYu12bNVG7GIE/9IB79v9hSTDL9NuAreMWBv63jVw2fQgPkG9vFE3bjQQS9KA==" saltValue="8oI+ctlPX1vxMpBswwpezw==" spinCount="100000" sheet="1" objects="1" scenarios="1"/>
  <mergeCells count="6">
    <mergeCell ref="A7:F7"/>
    <mergeCell ref="A1:F1"/>
    <mergeCell ref="A3:F3"/>
    <mergeCell ref="A4:F4"/>
    <mergeCell ref="A5:F5"/>
    <mergeCell ref="A6:F6"/>
  </mergeCells>
  <pageMargins left="0.7" right="0.7" top="0.75" bottom="0.75" header="0.3" footer="0.3"/>
  <pageSetup scale="64" fitToHeight="0" orientation="portrait" horizontalDpi="300" verticalDpi="300"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59999389629810485"/>
    <pageSetUpPr fitToPage="1"/>
  </sheetPr>
  <dimension ref="A1:AG83"/>
  <sheetViews>
    <sheetView view="pageBreakPreview" topLeftCell="A59" zoomScale="60" zoomScaleNormal="80" workbookViewId="0">
      <pane xSplit="1" topLeftCell="O1" activePane="topRight" state="frozen"/>
      <selection pane="topRight" activeCell="R72" sqref="R72"/>
    </sheetView>
  </sheetViews>
  <sheetFormatPr defaultRowHeight="18.75" x14ac:dyDescent="0.3"/>
  <cols>
    <col min="1" max="1" width="54.85546875" style="49" customWidth="1"/>
    <col min="2" max="4" width="12.85546875" style="414" customWidth="1"/>
    <col min="5" max="5" width="11" style="304" customWidth="1"/>
    <col min="6" max="6" width="1" style="49" customWidth="1"/>
    <col min="7" max="9" width="12.85546875" style="414" customWidth="1"/>
    <col min="10" max="10" width="11.85546875" style="304" customWidth="1"/>
    <col min="11" max="11" width="1.140625" style="49" customWidth="1"/>
    <col min="12" max="14" width="12" style="414" customWidth="1"/>
    <col min="15" max="15" width="9" style="305" customWidth="1"/>
    <col min="16" max="16" width="1" style="49" customWidth="1"/>
    <col min="17" max="19" width="12.28515625" style="414" customWidth="1"/>
    <col min="20" max="20" width="11" style="305" customWidth="1"/>
    <col min="21" max="21" width="1.28515625" style="49" customWidth="1"/>
    <col min="22" max="22" width="14.85546875" style="414" customWidth="1"/>
    <col min="23" max="24" width="12.7109375" style="414" customWidth="1"/>
    <col min="25" max="25" width="9.7109375" style="305" customWidth="1"/>
    <col min="26" max="26" width="1" style="49" customWidth="1"/>
    <col min="27" max="27" width="12.85546875" style="414" customWidth="1"/>
    <col min="28" max="28" width="14.28515625" style="414" customWidth="1"/>
    <col min="29" max="29" width="15" style="305" customWidth="1"/>
    <col min="30" max="30" width="1" style="49" customWidth="1"/>
    <col min="31" max="31" width="66.42578125" style="49" customWidth="1"/>
    <col min="32" max="16384" width="9.140625" style="49"/>
  </cols>
  <sheetData>
    <row r="1" spans="1:31" x14ac:dyDescent="0.3">
      <c r="A1" s="1102" t="s">
        <v>49</v>
      </c>
      <c r="B1" s="497"/>
      <c r="C1" s="497"/>
      <c r="D1" s="497"/>
      <c r="E1" s="497"/>
      <c r="F1" s="497"/>
      <c r="G1" s="497"/>
      <c r="H1" s="497"/>
      <c r="I1" s="415"/>
      <c r="J1" s="88"/>
      <c r="K1" s="89"/>
      <c r="L1" s="416"/>
      <c r="M1" s="416"/>
      <c r="N1" s="416"/>
      <c r="O1" s="91"/>
      <c r="P1" s="120"/>
      <c r="Q1" s="415"/>
      <c r="R1" s="417"/>
      <c r="S1" s="429"/>
      <c r="T1" s="93"/>
      <c r="U1" s="120"/>
      <c r="V1" s="430"/>
      <c r="W1" s="430"/>
      <c r="X1" s="430"/>
      <c r="Y1" s="123"/>
      <c r="Z1" s="120"/>
      <c r="AA1" s="430"/>
      <c r="AB1" s="430"/>
      <c r="AC1" s="123"/>
      <c r="AD1" s="120"/>
      <c r="AE1" s="124"/>
    </row>
    <row r="2" spans="1:31" x14ac:dyDescent="0.3">
      <c r="A2" s="1112"/>
      <c r="B2" s="418"/>
      <c r="C2" s="418"/>
      <c r="D2" s="418"/>
      <c r="E2" s="95"/>
      <c r="F2" s="96"/>
      <c r="G2" s="418"/>
      <c r="H2" s="418"/>
      <c r="I2" s="418"/>
      <c r="J2" s="95"/>
      <c r="K2" s="97"/>
      <c r="L2" s="357"/>
      <c r="M2" s="357"/>
      <c r="N2" s="357"/>
      <c r="O2" s="98"/>
      <c r="P2" s="97"/>
      <c r="Q2" s="418"/>
      <c r="R2" s="419"/>
      <c r="S2" s="431"/>
      <c r="T2" s="100"/>
      <c r="U2" s="97"/>
      <c r="V2" s="432"/>
      <c r="W2" s="432"/>
      <c r="X2" s="432"/>
      <c r="Y2" s="128"/>
      <c r="Z2" s="97"/>
      <c r="AA2" s="432"/>
      <c r="AB2" s="432"/>
      <c r="AC2" s="128"/>
      <c r="AD2" s="97"/>
      <c r="AE2" s="129"/>
    </row>
    <row r="3" spans="1:31" s="52" customFormat="1" x14ac:dyDescent="0.3">
      <c r="A3" s="1103" t="s">
        <v>187</v>
      </c>
      <c r="B3" s="1104"/>
      <c r="C3" s="1104"/>
      <c r="D3" s="1104"/>
      <c r="E3" s="1104"/>
      <c r="F3" s="1104"/>
      <c r="G3" s="1104"/>
      <c r="H3" s="1104"/>
      <c r="I3" s="420"/>
      <c r="J3" s="102"/>
      <c r="K3" s="103"/>
      <c r="L3" s="421"/>
      <c r="M3" s="421"/>
      <c r="N3" s="421"/>
      <c r="O3" s="105"/>
      <c r="P3" s="130"/>
      <c r="Q3" s="420"/>
      <c r="R3" s="422"/>
      <c r="S3" s="428"/>
      <c r="T3" s="107"/>
      <c r="U3" s="130"/>
      <c r="V3" s="433"/>
      <c r="W3" s="433"/>
      <c r="X3" s="433"/>
      <c r="Y3" s="132"/>
      <c r="Z3" s="130"/>
      <c r="AA3" s="433"/>
      <c r="AB3" s="433"/>
      <c r="AC3" s="132"/>
      <c r="AD3" s="130"/>
      <c r="AE3" s="133"/>
    </row>
    <row r="4" spans="1:31" x14ac:dyDescent="0.3">
      <c r="A4" s="1105" t="s">
        <v>51</v>
      </c>
      <c r="B4" s="1106"/>
      <c r="C4" s="1106"/>
      <c r="D4" s="1106"/>
      <c r="E4" s="1106"/>
      <c r="F4" s="1106"/>
      <c r="G4" s="1106"/>
      <c r="H4" s="1106"/>
      <c r="I4" s="418"/>
      <c r="J4" s="95"/>
      <c r="K4" s="108"/>
      <c r="L4" s="423"/>
      <c r="M4" s="423"/>
      <c r="N4" s="423"/>
      <c r="O4" s="110"/>
      <c r="P4" s="134"/>
      <c r="Q4" s="424"/>
      <c r="R4" s="425"/>
      <c r="S4" s="431"/>
      <c r="T4" s="113"/>
      <c r="U4" s="134"/>
      <c r="V4" s="432"/>
      <c r="W4" s="432"/>
      <c r="X4" s="432"/>
      <c r="Y4" s="128"/>
      <c r="Z4" s="134"/>
      <c r="AA4" s="432"/>
      <c r="AB4" s="432"/>
      <c r="AC4" s="128"/>
      <c r="AD4" s="134"/>
      <c r="AE4" s="129"/>
    </row>
    <row r="5" spans="1:31" x14ac:dyDescent="0.3">
      <c r="A5" s="1105" t="s">
        <v>52</v>
      </c>
      <c r="B5" s="498"/>
      <c r="C5" s="498"/>
      <c r="D5" s="498"/>
      <c r="E5" s="498"/>
      <c r="F5" s="498"/>
      <c r="G5" s="498"/>
      <c r="H5" s="498"/>
      <c r="I5" s="418"/>
      <c r="J5" s="95"/>
      <c r="K5" s="108"/>
      <c r="L5" s="423"/>
      <c r="M5" s="423"/>
      <c r="N5" s="423"/>
      <c r="O5" s="110"/>
      <c r="P5" s="134"/>
      <c r="Q5" s="424"/>
      <c r="R5" s="425"/>
      <c r="S5" s="431"/>
      <c r="T5" s="113"/>
      <c r="U5" s="134"/>
      <c r="V5" s="432"/>
      <c r="W5" s="432"/>
      <c r="X5" s="432"/>
      <c r="Y5" s="128"/>
      <c r="Z5" s="134"/>
      <c r="AA5" s="432"/>
      <c r="AB5" s="432"/>
      <c r="AC5" s="128"/>
      <c r="AD5" s="134"/>
      <c r="AE5" s="129"/>
    </row>
    <row r="6" spans="1:31" s="52" customFormat="1" x14ac:dyDescent="0.3">
      <c r="A6" s="1103" t="s">
        <v>194</v>
      </c>
      <c r="B6" s="1108"/>
      <c r="C6" s="1108"/>
      <c r="D6" s="1108"/>
      <c r="E6" s="1108"/>
      <c r="F6" s="1108"/>
      <c r="G6" s="1108"/>
      <c r="H6" s="1108"/>
      <c r="I6" s="420"/>
      <c r="J6" s="102"/>
      <c r="K6" s="114"/>
      <c r="L6" s="426"/>
      <c r="M6" s="426"/>
      <c r="N6" s="426"/>
      <c r="O6" s="116"/>
      <c r="P6" s="130"/>
      <c r="Q6" s="427"/>
      <c r="R6" s="428"/>
      <c r="S6" s="428"/>
      <c r="T6" s="119"/>
      <c r="U6" s="130"/>
      <c r="V6" s="433"/>
      <c r="W6" s="433"/>
      <c r="X6" s="433"/>
      <c r="Y6" s="132"/>
      <c r="Z6" s="130"/>
      <c r="AA6" s="421"/>
      <c r="AB6" s="421"/>
      <c r="AC6" s="132"/>
      <c r="AD6" s="130"/>
      <c r="AE6" s="133"/>
    </row>
    <row r="7" spans="1:31" s="52" customFormat="1" x14ac:dyDescent="0.3">
      <c r="A7" s="1101" t="s">
        <v>2</v>
      </c>
      <c r="B7" s="500"/>
      <c r="C7" s="500"/>
      <c r="D7" s="500"/>
      <c r="E7" s="500"/>
      <c r="F7" s="500"/>
      <c r="G7" s="500"/>
      <c r="H7" s="500"/>
      <c r="I7" s="420"/>
      <c r="J7" s="102"/>
      <c r="K7" s="114"/>
      <c r="L7" s="426"/>
      <c r="M7" s="426"/>
      <c r="N7" s="426"/>
      <c r="O7" s="116"/>
      <c r="P7" s="130"/>
      <c r="Q7" s="427"/>
      <c r="R7" s="428"/>
      <c r="S7" s="428"/>
      <c r="T7" s="119"/>
      <c r="U7" s="130"/>
      <c r="V7" s="433"/>
      <c r="W7" s="433"/>
      <c r="X7" s="433"/>
      <c r="Y7" s="132"/>
      <c r="Z7" s="130"/>
      <c r="AA7" s="433"/>
      <c r="AB7" s="433"/>
      <c r="AC7" s="132"/>
      <c r="AD7" s="130"/>
      <c r="AE7" s="133"/>
    </row>
    <row r="8" spans="1:31" ht="19.5" thickBot="1" x14ac:dyDescent="0.35">
      <c r="A8" s="135" t="s">
        <v>173</v>
      </c>
      <c r="B8" s="1111"/>
      <c r="C8" s="1110"/>
      <c r="D8" s="1110"/>
      <c r="E8" s="1117"/>
      <c r="F8" s="1113"/>
      <c r="G8" s="1110"/>
      <c r="H8" s="1110"/>
      <c r="I8" s="432"/>
      <c r="J8" s="137"/>
      <c r="K8" s="138"/>
      <c r="L8" s="432"/>
      <c r="M8" s="432"/>
      <c r="N8" s="432"/>
      <c r="O8" s="128"/>
      <c r="P8" s="138"/>
      <c r="Q8" s="432"/>
      <c r="R8" s="432"/>
      <c r="S8" s="432"/>
      <c r="T8" s="128"/>
      <c r="U8" s="138"/>
      <c r="V8" s="432"/>
      <c r="W8" s="432"/>
      <c r="X8" s="432"/>
      <c r="Y8" s="128"/>
      <c r="Z8" s="138"/>
      <c r="AA8" s="432"/>
      <c r="AB8" s="432"/>
      <c r="AC8" s="128"/>
      <c r="AD8" s="138"/>
      <c r="AE8" s="129"/>
    </row>
    <row r="9" spans="1:31" x14ac:dyDescent="0.3">
      <c r="A9" s="140"/>
      <c r="B9" s="1446" t="s">
        <v>53</v>
      </c>
      <c r="C9" s="1447"/>
      <c r="D9" s="1448"/>
      <c r="E9" s="1449"/>
      <c r="F9" s="141"/>
      <c r="G9" s="1446" t="s">
        <v>54</v>
      </c>
      <c r="H9" s="1447"/>
      <c r="I9" s="1447"/>
      <c r="J9" s="1450"/>
      <c r="K9" s="141"/>
      <c r="L9" s="1451" t="s">
        <v>55</v>
      </c>
      <c r="M9" s="1452"/>
      <c r="N9" s="1452"/>
      <c r="O9" s="1453"/>
      <c r="P9" s="141"/>
      <c r="Q9" s="1454" t="s">
        <v>56</v>
      </c>
      <c r="R9" s="1448"/>
      <c r="S9" s="1448"/>
      <c r="T9" s="1449"/>
      <c r="U9" s="141"/>
      <c r="V9" s="1455" t="s">
        <v>57</v>
      </c>
      <c r="W9" s="1456"/>
      <c r="X9" s="1456"/>
      <c r="Y9" s="1457"/>
      <c r="Z9" s="141"/>
      <c r="AA9" s="1455" t="s">
        <v>196</v>
      </c>
      <c r="AB9" s="1456"/>
      <c r="AC9" s="1457"/>
      <c r="AD9" s="141"/>
      <c r="AE9" s="1498" t="s">
        <v>58</v>
      </c>
    </row>
    <row r="10" spans="1:31" ht="37.5" x14ac:dyDescent="0.3">
      <c r="A10" s="143" t="s">
        <v>59</v>
      </c>
      <c r="B10" s="435" t="s">
        <v>60</v>
      </c>
      <c r="C10" s="435" t="s">
        <v>61</v>
      </c>
      <c r="D10" s="1441" t="s">
        <v>62</v>
      </c>
      <c r="E10" s="1442"/>
      <c r="F10" s="145"/>
      <c r="G10" s="435" t="s">
        <v>60</v>
      </c>
      <c r="H10" s="435" t="s">
        <v>61</v>
      </c>
      <c r="I10" s="1443" t="s">
        <v>62</v>
      </c>
      <c r="J10" s="1444"/>
      <c r="K10" s="145"/>
      <c r="L10" s="435" t="s">
        <v>60</v>
      </c>
      <c r="M10" s="435" t="s">
        <v>61</v>
      </c>
      <c r="N10" s="1443" t="s">
        <v>62</v>
      </c>
      <c r="O10" s="1444"/>
      <c r="P10" s="145"/>
      <c r="Q10" s="436" t="s">
        <v>60</v>
      </c>
      <c r="R10" s="437" t="s">
        <v>61</v>
      </c>
      <c r="S10" s="1445" t="s">
        <v>62</v>
      </c>
      <c r="T10" s="1442"/>
      <c r="U10" s="145"/>
      <c r="V10" s="436" t="s">
        <v>60</v>
      </c>
      <c r="W10" s="437" t="s">
        <v>61</v>
      </c>
      <c r="X10" s="1445" t="s">
        <v>62</v>
      </c>
      <c r="Y10" s="1442"/>
      <c r="Z10" s="145"/>
      <c r="AA10" s="438" t="s">
        <v>63</v>
      </c>
      <c r="AB10" s="1445" t="s">
        <v>64</v>
      </c>
      <c r="AC10" s="1442"/>
      <c r="AD10" s="145"/>
      <c r="AE10" s="1499"/>
    </row>
    <row r="11" spans="1:31" x14ac:dyDescent="0.3">
      <c r="A11" s="150"/>
      <c r="B11" s="439" t="s">
        <v>107</v>
      </c>
      <c r="C11" s="439" t="s">
        <v>107</v>
      </c>
      <c r="D11" s="440" t="s">
        <v>107</v>
      </c>
      <c r="E11" s="153" t="s">
        <v>65</v>
      </c>
      <c r="F11" s="154"/>
      <c r="G11" s="439" t="s">
        <v>107</v>
      </c>
      <c r="H11" s="439" t="s">
        <v>107</v>
      </c>
      <c r="I11" s="441" t="s">
        <v>107</v>
      </c>
      <c r="J11" s="156" t="s">
        <v>65</v>
      </c>
      <c r="K11" s="154"/>
      <c r="L11" s="439" t="s">
        <v>107</v>
      </c>
      <c r="M11" s="439" t="s">
        <v>107</v>
      </c>
      <c r="N11" s="441" t="s">
        <v>107</v>
      </c>
      <c r="O11" s="157" t="s">
        <v>65</v>
      </c>
      <c r="P11" s="154"/>
      <c r="Q11" s="442" t="s">
        <v>107</v>
      </c>
      <c r="R11" s="443" t="s">
        <v>107</v>
      </c>
      <c r="S11" s="444" t="s">
        <v>107</v>
      </c>
      <c r="T11" s="161" t="s">
        <v>65</v>
      </c>
      <c r="U11" s="154"/>
      <c r="V11" s="442" t="s">
        <v>107</v>
      </c>
      <c r="W11" s="443" t="s">
        <v>107</v>
      </c>
      <c r="X11" s="444" t="s">
        <v>107</v>
      </c>
      <c r="Y11" s="161" t="s">
        <v>65</v>
      </c>
      <c r="Z11" s="154"/>
      <c r="AA11" s="442" t="s">
        <v>107</v>
      </c>
      <c r="AB11" s="444" t="s">
        <v>107</v>
      </c>
      <c r="AC11" s="161" t="s">
        <v>65</v>
      </c>
      <c r="AD11" s="154"/>
      <c r="AE11" s="1499"/>
    </row>
    <row r="12" spans="1:31" x14ac:dyDescent="0.3">
      <c r="A12" s="163"/>
      <c r="B12" s="445"/>
      <c r="C12" s="445"/>
      <c r="D12" s="446"/>
      <c r="E12" s="166"/>
      <c r="F12" s="167"/>
      <c r="G12" s="445"/>
      <c r="H12" s="445"/>
      <c r="I12" s="446"/>
      <c r="J12" s="166"/>
      <c r="K12" s="167"/>
      <c r="L12" s="445"/>
      <c r="M12" s="445"/>
      <c r="N12" s="446"/>
      <c r="O12" s="168"/>
      <c r="P12" s="167"/>
      <c r="Q12" s="446"/>
      <c r="R12" s="446"/>
      <c r="S12" s="446"/>
      <c r="T12" s="168"/>
      <c r="U12" s="169"/>
      <c r="V12" s="447"/>
      <c r="W12" s="446"/>
      <c r="X12" s="446"/>
      <c r="Y12" s="168"/>
      <c r="Z12" s="167"/>
      <c r="AA12" s="865"/>
      <c r="AB12" s="446"/>
      <c r="AC12" s="866"/>
      <c r="AD12" s="167"/>
      <c r="AE12" s="850"/>
    </row>
    <row r="13" spans="1:31" x14ac:dyDescent="0.3">
      <c r="A13" s="172" t="s">
        <v>66</v>
      </c>
      <c r="B13" s="448"/>
      <c r="C13" s="448"/>
      <c r="D13" s="448"/>
      <c r="E13" s="174"/>
      <c r="F13" s="175"/>
      <c r="G13" s="448"/>
      <c r="H13" s="448"/>
      <c r="I13" s="448"/>
      <c r="J13" s="174"/>
      <c r="K13" s="175"/>
      <c r="L13" s="448"/>
      <c r="M13" s="448"/>
      <c r="N13" s="448"/>
      <c r="O13" s="176"/>
      <c r="P13" s="175"/>
      <c r="Q13" s="448"/>
      <c r="R13" s="448"/>
      <c r="S13" s="448"/>
      <c r="T13" s="176"/>
      <c r="U13" s="177"/>
      <c r="V13" s="449"/>
      <c r="W13" s="448"/>
      <c r="X13" s="448"/>
      <c r="Y13" s="176"/>
      <c r="Z13" s="179"/>
      <c r="AA13" s="449"/>
      <c r="AB13" s="448"/>
      <c r="AC13" s="867"/>
      <c r="AD13" s="175"/>
      <c r="AE13" s="850"/>
    </row>
    <row r="14" spans="1:31" x14ac:dyDescent="0.3">
      <c r="A14" s="181" t="s">
        <v>132</v>
      </c>
      <c r="B14" s="452">
        <v>0</v>
      </c>
      <c r="C14" s="452">
        <v>0</v>
      </c>
      <c r="D14" s="452">
        <f>C14-B14</f>
        <v>0</v>
      </c>
      <c r="E14" s="183" t="str">
        <f t="shared" ref="E14:E24" si="0">IF(ISERROR(D14/B14),"-",D14/B14)</f>
        <v>-</v>
      </c>
      <c r="F14" s="184"/>
      <c r="G14" s="452">
        <v>0</v>
      </c>
      <c r="H14" s="452">
        <v>0</v>
      </c>
      <c r="I14" s="452">
        <f>H14-G14</f>
        <v>0</v>
      </c>
      <c r="J14" s="183" t="str">
        <f t="shared" ref="J14:J24" si="1">IF(ISERROR(I14/G14),"-",I14/G14)</f>
        <v>-</v>
      </c>
      <c r="K14" s="184"/>
      <c r="L14" s="463">
        <v>0</v>
      </c>
      <c r="M14" s="463">
        <v>0</v>
      </c>
      <c r="N14" s="452">
        <f>M14-L14</f>
        <v>0</v>
      </c>
      <c r="O14" s="185" t="str">
        <f t="shared" ref="O14:O24" si="2">IF(ISERROR(N14/L14),"-",N14/L14)</f>
        <v>-</v>
      </c>
      <c r="P14" s="184"/>
      <c r="Q14" s="463">
        <v>0</v>
      </c>
      <c r="R14" s="463">
        <v>0</v>
      </c>
      <c r="S14" s="452">
        <f>R14-Q14</f>
        <v>0</v>
      </c>
      <c r="T14" s="185" t="str">
        <f t="shared" ref="T14:T24" si="3">IF(ISERROR(S14/Q14),"-",S14/Q14)</f>
        <v>-</v>
      </c>
      <c r="U14" s="186"/>
      <c r="V14" s="450">
        <f>B14+G14+L14+Q14</f>
        <v>0</v>
      </c>
      <c r="W14" s="452">
        <f>C14+H14+M14+R14</f>
        <v>0</v>
      </c>
      <c r="X14" s="452">
        <f>W14-V14</f>
        <v>0</v>
      </c>
      <c r="Y14" s="185" t="str">
        <f t="shared" ref="Y14:Y24" si="4">IF(ISERROR(X14/V14),"-",X14/V14)</f>
        <v>-</v>
      </c>
      <c r="Z14" s="188"/>
      <c r="AA14" s="453">
        <v>0</v>
      </c>
      <c r="AB14" s="452">
        <f>AA14-W14</f>
        <v>0</v>
      </c>
      <c r="AC14" s="868" t="str">
        <f>IF(ISERROR(AB14/AA14),"-",AB14/AA14)</f>
        <v>-</v>
      </c>
      <c r="AD14" s="184"/>
      <c r="AE14" s="858"/>
    </row>
    <row r="15" spans="1:31" ht="60" x14ac:dyDescent="0.3">
      <c r="A15" s="190" t="s">
        <v>111</v>
      </c>
      <c r="B15" s="452">
        <v>35500</v>
      </c>
      <c r="C15" s="452">
        <v>34795.699999999997</v>
      </c>
      <c r="D15" s="452">
        <f t="shared" ref="D15:D24" si="5">C15-B15</f>
        <v>-704.30000000000291</v>
      </c>
      <c r="E15" s="183">
        <f>IF(ISERROR(D15/B15),"-",D15/B15)</f>
        <v>-1.9839436619718393E-2</v>
      </c>
      <c r="F15" s="184"/>
      <c r="G15" s="452">
        <v>35500</v>
      </c>
      <c r="H15" s="452">
        <v>86411.24</v>
      </c>
      <c r="I15" s="452">
        <f t="shared" ref="I15:I24" si="6">H15-G15</f>
        <v>50911.240000000005</v>
      </c>
      <c r="J15" s="183">
        <f t="shared" si="1"/>
        <v>1.4341194366197185</v>
      </c>
      <c r="K15" s="184"/>
      <c r="L15" s="463">
        <v>35500</v>
      </c>
      <c r="M15" s="463">
        <v>-26988.560000000001</v>
      </c>
      <c r="N15" s="452">
        <f t="shared" ref="N15:N24" si="7">M15-L15</f>
        <v>-62488.56</v>
      </c>
      <c r="O15" s="185">
        <f t="shared" si="2"/>
        <v>-1.7602411267605633</v>
      </c>
      <c r="P15" s="184"/>
      <c r="Q15" s="463">
        <v>35500</v>
      </c>
      <c r="R15" s="463">
        <v>183989.59</v>
      </c>
      <c r="S15" s="452">
        <f t="shared" ref="S15:S24" si="8">R15-Q15</f>
        <v>148489.59</v>
      </c>
      <c r="T15" s="185">
        <f t="shared" si="3"/>
        <v>4.182805352112676</v>
      </c>
      <c r="U15" s="186"/>
      <c r="V15" s="450">
        <f t="shared" ref="V15:V24" si="9">B15+G15+L15+Q15</f>
        <v>142000</v>
      </c>
      <c r="W15" s="452">
        <f t="shared" ref="W15:W24" si="10">C15+H15+M15+R15</f>
        <v>278207.96999999997</v>
      </c>
      <c r="X15" s="452">
        <f t="shared" ref="X15:X24" si="11">W15-V15</f>
        <v>136207.96999999997</v>
      </c>
      <c r="Y15" s="185">
        <f t="shared" si="4"/>
        <v>0.95921105633802795</v>
      </c>
      <c r="Z15" s="188"/>
      <c r="AA15" s="453">
        <v>142000</v>
      </c>
      <c r="AB15" s="452">
        <f t="shared" ref="AB15:AB23" si="12">AA15-W15</f>
        <v>-136207.96999999997</v>
      </c>
      <c r="AC15" s="868">
        <f t="shared" ref="AC15:AC24" si="13">IF(ISERROR(AB15/AA15),"-",AB15/AA15)</f>
        <v>-0.95921105633802795</v>
      </c>
      <c r="AD15" s="184"/>
      <c r="AE15" s="1180" t="s">
        <v>215</v>
      </c>
    </row>
    <row r="16" spans="1:31" ht="90" x14ac:dyDescent="0.3">
      <c r="A16" s="190" t="s">
        <v>69</v>
      </c>
      <c r="B16" s="452">
        <v>4352158.25</v>
      </c>
      <c r="C16" s="452">
        <v>4889069.75</v>
      </c>
      <c r="D16" s="452">
        <f t="shared" si="5"/>
        <v>536911.5</v>
      </c>
      <c r="E16" s="183">
        <f t="shared" si="0"/>
        <v>0.12336672270591263</v>
      </c>
      <c r="F16" s="191"/>
      <c r="G16" s="452">
        <v>4352158.25</v>
      </c>
      <c r="H16" s="452">
        <v>6197794.9400000004</v>
      </c>
      <c r="I16" s="452">
        <f t="shared" si="6"/>
        <v>1845636.6900000004</v>
      </c>
      <c r="J16" s="183">
        <f t="shared" si="1"/>
        <v>0.42407389253366429</v>
      </c>
      <c r="K16" s="191"/>
      <c r="L16" s="463">
        <v>4352158.25</v>
      </c>
      <c r="M16" s="463">
        <v>319681.65000000002</v>
      </c>
      <c r="N16" s="452">
        <f t="shared" si="7"/>
        <v>-4032476.6</v>
      </c>
      <c r="O16" s="185">
        <f t="shared" si="2"/>
        <v>-0.92654640947396616</v>
      </c>
      <c r="P16" s="191"/>
      <c r="Q16" s="463">
        <v>4352158.25</v>
      </c>
      <c r="R16" s="463">
        <v>10484226.85</v>
      </c>
      <c r="S16" s="452">
        <f t="shared" si="8"/>
        <v>6132068.5999999996</v>
      </c>
      <c r="T16" s="185">
        <f t="shared" si="3"/>
        <v>1.4089718819392654</v>
      </c>
      <c r="U16" s="192"/>
      <c r="V16" s="450">
        <f t="shared" si="9"/>
        <v>17408633</v>
      </c>
      <c r="W16" s="452">
        <f t="shared" si="10"/>
        <v>21890773.190000001</v>
      </c>
      <c r="X16" s="452">
        <f t="shared" si="11"/>
        <v>4482140.1900000013</v>
      </c>
      <c r="Y16" s="185">
        <f t="shared" si="4"/>
        <v>0.25746652192621911</v>
      </c>
      <c r="Z16" s="188"/>
      <c r="AA16" s="453">
        <v>17408633</v>
      </c>
      <c r="AB16" s="452">
        <f>AA16-W16</f>
        <v>-4482140.1900000013</v>
      </c>
      <c r="AC16" s="868">
        <f t="shared" si="13"/>
        <v>-0.25746652192621911</v>
      </c>
      <c r="AD16" s="191"/>
      <c r="AE16" s="1181" t="s">
        <v>216</v>
      </c>
    </row>
    <row r="17" spans="1:33" x14ac:dyDescent="0.3">
      <c r="A17" s="190" t="s">
        <v>68</v>
      </c>
      <c r="B17" s="452">
        <v>65000</v>
      </c>
      <c r="C17" s="452">
        <v>65088</v>
      </c>
      <c r="D17" s="452">
        <f t="shared" si="5"/>
        <v>88</v>
      </c>
      <c r="E17" s="183">
        <f t="shared" si="0"/>
        <v>1.3538461538461538E-3</v>
      </c>
      <c r="F17" s="184"/>
      <c r="G17" s="452">
        <v>65000</v>
      </c>
      <c r="H17" s="452">
        <v>63316</v>
      </c>
      <c r="I17" s="452">
        <f t="shared" si="6"/>
        <v>-1684</v>
      </c>
      <c r="J17" s="183">
        <f t="shared" si="1"/>
        <v>-2.5907692307692309E-2</v>
      </c>
      <c r="K17" s="184"/>
      <c r="L17" s="463">
        <v>65000</v>
      </c>
      <c r="M17" s="463">
        <v>62016</v>
      </c>
      <c r="N17" s="452">
        <f t="shared" si="7"/>
        <v>-2984</v>
      </c>
      <c r="O17" s="185">
        <f t="shared" si="2"/>
        <v>-4.5907692307692309E-2</v>
      </c>
      <c r="P17" s="184"/>
      <c r="Q17" s="463">
        <v>65000</v>
      </c>
      <c r="R17" s="463">
        <v>62016</v>
      </c>
      <c r="S17" s="452">
        <f t="shared" si="8"/>
        <v>-2984</v>
      </c>
      <c r="T17" s="185">
        <f t="shared" si="3"/>
        <v>-4.5907692307692309E-2</v>
      </c>
      <c r="U17" s="186"/>
      <c r="V17" s="450">
        <f t="shared" si="9"/>
        <v>260000</v>
      </c>
      <c r="W17" s="452">
        <f t="shared" si="10"/>
        <v>252436</v>
      </c>
      <c r="X17" s="452">
        <f t="shared" si="11"/>
        <v>-7564</v>
      </c>
      <c r="Y17" s="185">
        <f t="shared" si="4"/>
        <v>-2.9092307692307692E-2</v>
      </c>
      <c r="Z17" s="188"/>
      <c r="AA17" s="453">
        <v>260000</v>
      </c>
      <c r="AB17" s="452">
        <f t="shared" si="12"/>
        <v>7564</v>
      </c>
      <c r="AC17" s="868">
        <f t="shared" si="13"/>
        <v>2.9092307692307692E-2</v>
      </c>
      <c r="AD17" s="184"/>
      <c r="AE17" s="858"/>
    </row>
    <row r="18" spans="1:33" ht="30" x14ac:dyDescent="0.3">
      <c r="A18" s="190" t="s">
        <v>71</v>
      </c>
      <c r="B18" s="452">
        <v>503.25</v>
      </c>
      <c r="C18" s="452">
        <v>1666.59</v>
      </c>
      <c r="D18" s="452">
        <f>C18-B18</f>
        <v>1163.3399999999999</v>
      </c>
      <c r="E18" s="183">
        <f t="shared" si="0"/>
        <v>2.3116542473919521</v>
      </c>
      <c r="F18" s="184"/>
      <c r="G18" s="452">
        <v>503.25</v>
      </c>
      <c r="H18" s="452">
        <v>5131.41</v>
      </c>
      <c r="I18" s="452">
        <f t="shared" si="6"/>
        <v>4628.16</v>
      </c>
      <c r="J18" s="183">
        <f t="shared" si="1"/>
        <v>9.1965424739195232</v>
      </c>
      <c r="K18" s="184"/>
      <c r="L18" s="463">
        <v>503.25</v>
      </c>
      <c r="M18" s="463">
        <v>1160.6400000000001</v>
      </c>
      <c r="N18" s="452">
        <f t="shared" si="7"/>
        <v>657.3900000000001</v>
      </c>
      <c r="O18" s="185">
        <f t="shared" si="2"/>
        <v>1.3062891207153504</v>
      </c>
      <c r="P18" s="184"/>
      <c r="Q18" s="463">
        <v>503.25</v>
      </c>
      <c r="R18" s="463">
        <v>1095.76</v>
      </c>
      <c r="S18" s="452">
        <f t="shared" si="8"/>
        <v>592.51</v>
      </c>
      <c r="T18" s="185">
        <f t="shared" si="3"/>
        <v>1.1773671137605564</v>
      </c>
      <c r="U18" s="186"/>
      <c r="V18" s="450">
        <f t="shared" si="9"/>
        <v>2013</v>
      </c>
      <c r="W18" s="452">
        <f t="shared" si="10"/>
        <v>9054.4</v>
      </c>
      <c r="X18" s="452">
        <f t="shared" si="11"/>
        <v>7041.4</v>
      </c>
      <c r="Y18" s="185">
        <f t="shared" si="4"/>
        <v>3.4979632389468454</v>
      </c>
      <c r="Z18" s="188"/>
      <c r="AA18" s="453">
        <v>2013</v>
      </c>
      <c r="AB18" s="452">
        <f t="shared" si="12"/>
        <v>-7041.4</v>
      </c>
      <c r="AC18" s="868">
        <f t="shared" si="13"/>
        <v>-3.4979632389468454</v>
      </c>
      <c r="AD18" s="184"/>
      <c r="AE18" s="1182" t="s">
        <v>217</v>
      </c>
    </row>
    <row r="19" spans="1:33" x14ac:dyDescent="0.3">
      <c r="A19" s="523" t="s">
        <v>202</v>
      </c>
      <c r="B19" s="452">
        <v>0</v>
      </c>
      <c r="C19" s="452">
        <v>0</v>
      </c>
      <c r="D19" s="452">
        <f t="shared" si="5"/>
        <v>0</v>
      </c>
      <c r="E19" s="183" t="str">
        <f t="shared" si="0"/>
        <v>-</v>
      </c>
      <c r="F19" s="184"/>
      <c r="G19" s="452">
        <v>0</v>
      </c>
      <c r="H19" s="452">
        <v>0</v>
      </c>
      <c r="I19" s="452">
        <f t="shared" si="6"/>
        <v>0</v>
      </c>
      <c r="J19" s="183" t="str">
        <f t="shared" si="1"/>
        <v>-</v>
      </c>
      <c r="K19" s="184"/>
      <c r="L19" s="463">
        <v>0</v>
      </c>
      <c r="M19" s="463">
        <v>0</v>
      </c>
      <c r="N19" s="452">
        <f t="shared" si="7"/>
        <v>0</v>
      </c>
      <c r="O19" s="185" t="str">
        <f t="shared" si="2"/>
        <v>-</v>
      </c>
      <c r="P19" s="184"/>
      <c r="Q19" s="463">
        <v>0</v>
      </c>
      <c r="R19" s="463">
        <v>0</v>
      </c>
      <c r="S19" s="452">
        <f t="shared" si="8"/>
        <v>0</v>
      </c>
      <c r="T19" s="185" t="str">
        <f t="shared" si="3"/>
        <v>-</v>
      </c>
      <c r="U19" s="186"/>
      <c r="V19" s="450">
        <f t="shared" si="9"/>
        <v>0</v>
      </c>
      <c r="W19" s="452">
        <f t="shared" si="10"/>
        <v>0</v>
      </c>
      <c r="X19" s="452">
        <f t="shared" si="11"/>
        <v>0</v>
      </c>
      <c r="Y19" s="185" t="str">
        <f t="shared" si="4"/>
        <v>-</v>
      </c>
      <c r="Z19" s="188"/>
      <c r="AA19" s="453">
        <v>0</v>
      </c>
      <c r="AB19" s="452">
        <f t="shared" si="12"/>
        <v>0</v>
      </c>
      <c r="AC19" s="868" t="str">
        <f t="shared" si="13"/>
        <v>-</v>
      </c>
      <c r="AD19" s="184"/>
      <c r="AE19" s="858"/>
    </row>
    <row r="20" spans="1:33" x14ac:dyDescent="0.3">
      <c r="A20" s="194" t="s">
        <v>67</v>
      </c>
      <c r="B20" s="452">
        <v>0</v>
      </c>
      <c r="C20" s="452">
        <v>0</v>
      </c>
      <c r="D20" s="452">
        <f t="shared" si="5"/>
        <v>0</v>
      </c>
      <c r="E20" s="183" t="str">
        <f t="shared" si="0"/>
        <v>-</v>
      </c>
      <c r="F20" s="184"/>
      <c r="G20" s="452">
        <v>0</v>
      </c>
      <c r="H20" s="452">
        <v>0</v>
      </c>
      <c r="I20" s="452">
        <f t="shared" si="6"/>
        <v>0</v>
      </c>
      <c r="J20" s="183" t="str">
        <f t="shared" si="1"/>
        <v>-</v>
      </c>
      <c r="K20" s="184"/>
      <c r="L20" s="463">
        <v>0</v>
      </c>
      <c r="M20" s="463">
        <v>0</v>
      </c>
      <c r="N20" s="452">
        <f t="shared" si="7"/>
        <v>0</v>
      </c>
      <c r="O20" s="185" t="str">
        <f t="shared" si="2"/>
        <v>-</v>
      </c>
      <c r="P20" s="184"/>
      <c r="Q20" s="463">
        <v>0</v>
      </c>
      <c r="R20" s="463">
        <v>0</v>
      </c>
      <c r="S20" s="452">
        <f t="shared" si="8"/>
        <v>0</v>
      </c>
      <c r="T20" s="185" t="str">
        <f t="shared" si="3"/>
        <v>-</v>
      </c>
      <c r="U20" s="186"/>
      <c r="V20" s="450">
        <f t="shared" si="9"/>
        <v>0</v>
      </c>
      <c r="W20" s="452">
        <f t="shared" si="10"/>
        <v>0</v>
      </c>
      <c r="X20" s="452">
        <f t="shared" si="11"/>
        <v>0</v>
      </c>
      <c r="Y20" s="185" t="str">
        <f t="shared" si="4"/>
        <v>-</v>
      </c>
      <c r="Z20" s="188"/>
      <c r="AA20" s="453">
        <v>0</v>
      </c>
      <c r="AB20" s="452">
        <f t="shared" si="12"/>
        <v>0</v>
      </c>
      <c r="AC20" s="868" t="str">
        <f t="shared" si="13"/>
        <v>-</v>
      </c>
      <c r="AD20" s="184"/>
      <c r="AE20" s="858"/>
    </row>
    <row r="21" spans="1:33" x14ac:dyDescent="0.3">
      <c r="A21" s="181" t="s">
        <v>112</v>
      </c>
      <c r="B21" s="452">
        <v>0</v>
      </c>
      <c r="C21" s="452">
        <v>0</v>
      </c>
      <c r="D21" s="452">
        <f t="shared" si="5"/>
        <v>0</v>
      </c>
      <c r="E21" s="183" t="str">
        <f t="shared" si="0"/>
        <v>-</v>
      </c>
      <c r="F21" s="184"/>
      <c r="G21" s="452">
        <v>0</v>
      </c>
      <c r="H21" s="452">
        <v>0</v>
      </c>
      <c r="I21" s="452">
        <f t="shared" si="6"/>
        <v>0</v>
      </c>
      <c r="J21" s="183" t="str">
        <f t="shared" si="1"/>
        <v>-</v>
      </c>
      <c r="K21" s="184"/>
      <c r="L21" s="463">
        <v>0</v>
      </c>
      <c r="M21" s="463">
        <v>0</v>
      </c>
      <c r="N21" s="452">
        <f t="shared" si="7"/>
        <v>0</v>
      </c>
      <c r="O21" s="185" t="str">
        <f t="shared" si="2"/>
        <v>-</v>
      </c>
      <c r="P21" s="184"/>
      <c r="Q21" s="463">
        <v>0</v>
      </c>
      <c r="R21" s="463">
        <v>0</v>
      </c>
      <c r="S21" s="452">
        <f t="shared" si="8"/>
        <v>0</v>
      </c>
      <c r="T21" s="185" t="str">
        <f t="shared" si="3"/>
        <v>-</v>
      </c>
      <c r="U21" s="186"/>
      <c r="V21" s="450">
        <f t="shared" si="9"/>
        <v>0</v>
      </c>
      <c r="W21" s="452">
        <f t="shared" si="10"/>
        <v>0</v>
      </c>
      <c r="X21" s="452">
        <f t="shared" si="11"/>
        <v>0</v>
      </c>
      <c r="Y21" s="185" t="str">
        <f t="shared" si="4"/>
        <v>-</v>
      </c>
      <c r="Z21" s="188"/>
      <c r="AA21" s="453">
        <v>0</v>
      </c>
      <c r="AB21" s="452">
        <f t="shared" si="12"/>
        <v>0</v>
      </c>
      <c r="AC21" s="868" t="str">
        <f t="shared" si="13"/>
        <v>-</v>
      </c>
      <c r="AD21" s="184"/>
      <c r="AE21" s="860"/>
      <c r="AG21" s="195"/>
    </row>
    <row r="22" spans="1:33" x14ac:dyDescent="0.3">
      <c r="A22" s="190" t="s">
        <v>70</v>
      </c>
      <c r="B22" s="452">
        <v>0</v>
      </c>
      <c r="C22" s="452">
        <v>0</v>
      </c>
      <c r="D22" s="452">
        <f t="shared" si="5"/>
        <v>0</v>
      </c>
      <c r="E22" s="183" t="str">
        <f t="shared" si="0"/>
        <v>-</v>
      </c>
      <c r="F22" s="184"/>
      <c r="G22" s="452">
        <v>0</v>
      </c>
      <c r="H22" s="452">
        <v>0</v>
      </c>
      <c r="I22" s="452">
        <f t="shared" si="6"/>
        <v>0</v>
      </c>
      <c r="J22" s="183" t="str">
        <f t="shared" si="1"/>
        <v>-</v>
      </c>
      <c r="K22" s="184"/>
      <c r="L22" s="463">
        <v>0</v>
      </c>
      <c r="M22" s="463">
        <v>0</v>
      </c>
      <c r="N22" s="452">
        <f t="shared" si="7"/>
        <v>0</v>
      </c>
      <c r="O22" s="185" t="str">
        <f t="shared" si="2"/>
        <v>-</v>
      </c>
      <c r="P22" s="184"/>
      <c r="Q22" s="463">
        <v>0</v>
      </c>
      <c r="R22" s="463">
        <v>0</v>
      </c>
      <c r="S22" s="452">
        <f t="shared" si="8"/>
        <v>0</v>
      </c>
      <c r="T22" s="185" t="str">
        <f t="shared" si="3"/>
        <v>-</v>
      </c>
      <c r="U22" s="186"/>
      <c r="V22" s="450">
        <f t="shared" si="9"/>
        <v>0</v>
      </c>
      <c r="W22" s="452">
        <f t="shared" si="10"/>
        <v>0</v>
      </c>
      <c r="X22" s="452">
        <f t="shared" si="11"/>
        <v>0</v>
      </c>
      <c r="Y22" s="185" t="str">
        <f t="shared" si="4"/>
        <v>-</v>
      </c>
      <c r="Z22" s="188"/>
      <c r="AA22" s="453">
        <v>21517.65</v>
      </c>
      <c r="AB22" s="452">
        <f t="shared" si="12"/>
        <v>21517.65</v>
      </c>
      <c r="AC22" s="868">
        <f t="shared" si="13"/>
        <v>1</v>
      </c>
      <c r="AD22" s="184"/>
      <c r="AE22" s="861"/>
    </row>
    <row r="23" spans="1:33" x14ac:dyDescent="0.3">
      <c r="A23" s="190" t="s">
        <v>72</v>
      </c>
      <c r="B23" s="452">
        <v>5379.5</v>
      </c>
      <c r="C23" s="452">
        <v>6386.9</v>
      </c>
      <c r="D23" s="452">
        <f>C23-B23</f>
        <v>1007.3999999999996</v>
      </c>
      <c r="E23" s="183"/>
      <c r="F23" s="184"/>
      <c r="G23" s="452">
        <v>5379.5</v>
      </c>
      <c r="H23" s="452">
        <v>5723.06</v>
      </c>
      <c r="I23" s="452">
        <f t="shared" si="6"/>
        <v>343.5600000000004</v>
      </c>
      <c r="J23" s="183">
        <f t="shared" si="1"/>
        <v>6.3864671437866047E-2</v>
      </c>
      <c r="K23" s="184"/>
      <c r="L23" s="463">
        <v>5379.5</v>
      </c>
      <c r="M23" s="463">
        <v>5047.55</v>
      </c>
      <c r="N23" s="452">
        <f>M23-L23</f>
        <v>-331.94999999999982</v>
      </c>
      <c r="O23" s="185"/>
      <c r="P23" s="184"/>
      <c r="Q23" s="463">
        <v>5379.5</v>
      </c>
      <c r="R23" s="463">
        <v>4360.1400000000003</v>
      </c>
      <c r="S23" s="452">
        <f t="shared" si="8"/>
        <v>-1019.3599999999997</v>
      </c>
      <c r="T23" s="185"/>
      <c r="U23" s="186"/>
      <c r="V23" s="450">
        <f t="shared" si="9"/>
        <v>21518</v>
      </c>
      <c r="W23" s="452">
        <f t="shared" si="10"/>
        <v>21517.649999999998</v>
      </c>
      <c r="X23" s="452">
        <f t="shared" si="11"/>
        <v>-0.35000000000218279</v>
      </c>
      <c r="Y23" s="185"/>
      <c r="Z23" s="188"/>
      <c r="AA23" s="453">
        <v>30250001</v>
      </c>
      <c r="AB23" s="452">
        <f t="shared" si="12"/>
        <v>30228483.350000001</v>
      </c>
      <c r="AC23" s="868">
        <f t="shared" si="13"/>
        <v>0.9992886727507877</v>
      </c>
      <c r="AD23" s="184"/>
      <c r="AE23" s="861"/>
    </row>
    <row r="24" spans="1:33" ht="30" x14ac:dyDescent="0.3">
      <c r="A24" s="190" t="s">
        <v>131</v>
      </c>
      <c r="B24" s="1174">
        <v>7562500.25</v>
      </c>
      <c r="C24" s="454">
        <v>7961524.2199999997</v>
      </c>
      <c r="D24" s="452">
        <f t="shared" si="5"/>
        <v>399023.96999999974</v>
      </c>
      <c r="E24" s="196">
        <f t="shared" si="0"/>
        <v>5.276349842104134E-2</v>
      </c>
      <c r="F24" s="184"/>
      <c r="G24" s="454">
        <v>7562500.25</v>
      </c>
      <c r="H24" s="454">
        <v>8148735.9100000001</v>
      </c>
      <c r="I24" s="452">
        <f t="shared" si="6"/>
        <v>586235.66000000015</v>
      </c>
      <c r="J24" s="183">
        <f t="shared" si="1"/>
        <v>7.7518762396073984E-2</v>
      </c>
      <c r="K24" s="184"/>
      <c r="L24" s="463">
        <v>7562500.25</v>
      </c>
      <c r="M24" s="463">
        <v>9342637.7100000009</v>
      </c>
      <c r="N24" s="452">
        <f t="shared" si="7"/>
        <v>1780137.4600000009</v>
      </c>
      <c r="O24" s="197">
        <f t="shared" si="2"/>
        <v>0.23539006957388212</v>
      </c>
      <c r="P24" s="184"/>
      <c r="Q24" s="463">
        <v>7562500.25</v>
      </c>
      <c r="R24" s="463">
        <v>8392019.9600000009</v>
      </c>
      <c r="S24" s="452">
        <f t="shared" si="8"/>
        <v>829519.71000000089</v>
      </c>
      <c r="T24" s="197">
        <f t="shared" si="3"/>
        <v>0.10968855306814712</v>
      </c>
      <c r="U24" s="198"/>
      <c r="V24" s="450">
        <f t="shared" si="9"/>
        <v>30250001</v>
      </c>
      <c r="W24" s="452">
        <f t="shared" si="10"/>
        <v>33844917.799999997</v>
      </c>
      <c r="X24" s="452">
        <f t="shared" si="11"/>
        <v>3594916.799999997</v>
      </c>
      <c r="Y24" s="197">
        <f t="shared" si="4"/>
        <v>0.11884022086478599</v>
      </c>
      <c r="Z24" s="188"/>
      <c r="AA24" s="453">
        <v>0</v>
      </c>
      <c r="AB24" s="452">
        <f>AA24-W24</f>
        <v>-33844917.799999997</v>
      </c>
      <c r="AC24" s="868" t="str">
        <f t="shared" si="13"/>
        <v>-</v>
      </c>
      <c r="AD24" s="184"/>
      <c r="AE24" s="1182" t="s">
        <v>218</v>
      </c>
    </row>
    <row r="25" spans="1:33" x14ac:dyDescent="0.3">
      <c r="A25" s="199" t="s">
        <v>73</v>
      </c>
      <c r="B25" s="1144">
        <f>SUM(B14:B24)</f>
        <v>12021041.25</v>
      </c>
      <c r="C25" s="1144">
        <f t="shared" ref="C25:AD25" si="14">SUM(C14:C24)</f>
        <v>12958531.16</v>
      </c>
      <c r="D25" s="1144">
        <f t="shared" si="14"/>
        <v>937489.90999999968</v>
      </c>
      <c r="E25" s="1175">
        <f>IF(ISERROR(D25/B25),"-",D25/B25)</f>
        <v>7.7987413111988091E-2</v>
      </c>
      <c r="F25" s="1144">
        <f t="shared" si="14"/>
        <v>0</v>
      </c>
      <c r="G25" s="1144">
        <f t="shared" si="14"/>
        <v>12021041.25</v>
      </c>
      <c r="H25" s="1144">
        <f t="shared" si="14"/>
        <v>14507112.560000001</v>
      </c>
      <c r="I25" s="1144">
        <f t="shared" si="14"/>
        <v>2486071.3100000005</v>
      </c>
      <c r="J25" s="1175">
        <f>IF(ISERROR(I25/G25),"-",I25/G25)</f>
        <v>0.20680998079097354</v>
      </c>
      <c r="K25" s="1144">
        <f t="shared" si="14"/>
        <v>0</v>
      </c>
      <c r="L25" s="1144">
        <f t="shared" si="14"/>
        <v>12021041.25</v>
      </c>
      <c r="M25" s="1144">
        <f t="shared" si="14"/>
        <v>9703554.9900000002</v>
      </c>
      <c r="N25" s="1144">
        <f>SUM(N14:N24)</f>
        <v>-2317486.2599999993</v>
      </c>
      <c r="O25" s="1175">
        <f>IF(ISERROR(N25/L25),"-",N25/L25)</f>
        <v>-0.19278581711879569</v>
      </c>
      <c r="P25" s="1144">
        <f t="shared" si="14"/>
        <v>0</v>
      </c>
      <c r="Q25" s="1144">
        <f>SUM(Q14:Q24)</f>
        <v>12021041.25</v>
      </c>
      <c r="R25" s="1144">
        <f t="shared" si="14"/>
        <v>19127708.300000001</v>
      </c>
      <c r="S25" s="1144">
        <f>SUM(S14:S24)</f>
        <v>7106667.0499999998</v>
      </c>
      <c r="T25" s="1175">
        <f>IF(ISERROR(S25/Q25),"-",S25/Q25)</f>
        <v>0.59118564708360843</v>
      </c>
      <c r="U25" s="1144">
        <f t="shared" si="14"/>
        <v>0</v>
      </c>
      <c r="V25" s="1144">
        <f>SUM(V14:V24)</f>
        <v>48084165</v>
      </c>
      <c r="W25" s="1144">
        <f t="shared" si="14"/>
        <v>56296907.00999999</v>
      </c>
      <c r="X25" s="1144">
        <f>SUM(X14:X24)</f>
        <v>8212742.0099999988</v>
      </c>
      <c r="Y25" s="1175">
        <f>IF(ISERROR(X25/V25),"-",X25/V25)</f>
        <v>0.17079930596694357</v>
      </c>
      <c r="Z25" s="1144">
        <f t="shared" si="14"/>
        <v>0</v>
      </c>
      <c r="AA25" s="1144">
        <f t="shared" si="14"/>
        <v>48084164.649999999</v>
      </c>
      <c r="AB25" s="1144">
        <f>SUM(AB14:AB24)</f>
        <v>-8212742.3599999957</v>
      </c>
      <c r="AC25" s="1144">
        <f t="shared" si="14"/>
        <v>-2.6862598367679968</v>
      </c>
      <c r="AD25" s="1144">
        <f t="shared" si="14"/>
        <v>0</v>
      </c>
      <c r="AE25" s="858"/>
    </row>
    <row r="26" spans="1:33" x14ac:dyDescent="0.3">
      <c r="A26" s="210"/>
      <c r="B26" s="1176"/>
      <c r="C26" s="1176"/>
      <c r="E26" s="220" t="str">
        <f>IF(ISERROR(D27/B27),"-",D27/B27)</f>
        <v>-</v>
      </c>
      <c r="F26" s="184"/>
      <c r="G26" s="1177"/>
      <c r="H26" s="1176"/>
      <c r="J26" s="221" t="str">
        <f>IF(ISERROR(I27/G27),"-",I27/G27)</f>
        <v>-</v>
      </c>
      <c r="K26" s="184"/>
      <c r="L26" s="1177"/>
      <c r="M26" s="1176"/>
      <c r="N26" s="1176"/>
      <c r="O26" s="1178" t="str">
        <f>IF(ISERROR(N27/L27),"-",N27/L27)</f>
        <v>-</v>
      </c>
      <c r="P26" s="184"/>
      <c r="Q26" s="1177"/>
      <c r="R26" s="1176"/>
      <c r="T26" s="223" t="str">
        <f>IF(ISERROR(S27/Q27),"-",S27/Q27)</f>
        <v>-</v>
      </c>
      <c r="U26" s="184"/>
      <c r="V26" s="1177"/>
      <c r="W26" s="1176"/>
      <c r="Y26" s="225"/>
      <c r="Z26" s="188"/>
      <c r="AA26" s="1177"/>
      <c r="AB26" s="1176"/>
      <c r="AC26" s="1179"/>
      <c r="AD26" s="184"/>
      <c r="AE26" s="858"/>
    </row>
    <row r="27" spans="1:33" x14ac:dyDescent="0.3">
      <c r="A27" s="172" t="s">
        <v>74</v>
      </c>
      <c r="B27" s="450">
        <v>0</v>
      </c>
      <c r="C27" s="451">
        <v>0</v>
      </c>
      <c r="D27" s="451">
        <f>C27-B27</f>
        <v>0</v>
      </c>
      <c r="E27" s="1161"/>
      <c r="F27" s="177"/>
      <c r="G27" s="463">
        <v>0</v>
      </c>
      <c r="H27" s="464">
        <v>0</v>
      </c>
      <c r="I27" s="451">
        <f>H27-G27</f>
        <v>0</v>
      </c>
      <c r="J27" s="1162"/>
      <c r="K27" s="175"/>
      <c r="L27" s="450">
        <v>0</v>
      </c>
      <c r="M27" s="451">
        <v>0</v>
      </c>
      <c r="N27" s="451">
        <v>0</v>
      </c>
      <c r="O27" s="98"/>
      <c r="P27" s="175"/>
      <c r="Q27" s="463">
        <v>0</v>
      </c>
      <c r="R27" s="464">
        <v>0</v>
      </c>
      <c r="S27" s="451">
        <f>Q27-R27</f>
        <v>0</v>
      </c>
      <c r="T27" s="1163" t="str">
        <f>IF(ISERROR(#REF!/#REF!),"-",#REF!/#REF!)</f>
        <v>-</v>
      </c>
      <c r="U27" s="175"/>
      <c r="V27" s="450">
        <f>B27+G27+L27+Q27</f>
        <v>0</v>
      </c>
      <c r="W27" s="451">
        <f>C27+H27+M27+R27</f>
        <v>0</v>
      </c>
      <c r="X27" s="451">
        <f>W27-V27</f>
        <v>0</v>
      </c>
      <c r="Y27" s="911"/>
      <c r="Z27" s="179"/>
      <c r="AA27" s="450">
        <v>0</v>
      </c>
      <c r="AB27" s="451">
        <f>AA27-W27</f>
        <v>0</v>
      </c>
      <c r="AC27" s="911" t="str">
        <f>IF(ISERROR(AB27/AA27),"-",AB27/AA27)</f>
        <v>-</v>
      </c>
      <c r="AD27" s="175"/>
      <c r="AE27" s="862"/>
    </row>
    <row r="28" spans="1:33" x14ac:dyDescent="0.3">
      <c r="A28" s="226"/>
      <c r="B28" s="1160"/>
      <c r="C28" s="1159"/>
      <c r="D28" s="1146"/>
      <c r="E28" s="1147"/>
      <c r="F28" s="1148"/>
      <c r="G28" s="1145"/>
      <c r="H28" s="1146"/>
      <c r="I28" s="1146"/>
      <c r="J28" s="1147"/>
      <c r="K28" s="1148"/>
      <c r="L28" s="1145"/>
      <c r="M28" s="1146"/>
      <c r="N28" s="1146"/>
      <c r="O28" s="1149"/>
      <c r="P28" s="1148"/>
      <c r="Q28" s="1145"/>
      <c r="R28" s="1146"/>
      <c r="S28" s="1146"/>
      <c r="T28" s="1149"/>
      <c r="U28" s="1148"/>
      <c r="V28" s="1145"/>
      <c r="W28" s="1146"/>
      <c r="X28" s="1146"/>
      <c r="Y28" s="1149"/>
      <c r="Z28" s="1150"/>
      <c r="AA28" s="1151"/>
      <c r="AB28" s="1152"/>
      <c r="AC28" s="1153"/>
      <c r="AD28" s="203"/>
      <c r="AE28" s="858"/>
    </row>
    <row r="29" spans="1:33" x14ac:dyDescent="0.3">
      <c r="A29" s="199" t="s">
        <v>75</v>
      </c>
      <c r="B29" s="1143">
        <f>B25+B27</f>
        <v>12021041.25</v>
      </c>
      <c r="C29" s="1143">
        <f t="shared" ref="C29:D29" si="15">C25+C27</f>
        <v>12958531.16</v>
      </c>
      <c r="D29" s="1143">
        <f t="shared" si="15"/>
        <v>937489.90999999968</v>
      </c>
      <c r="E29" s="1154">
        <f>IF(ISERROR(D29/B29),"-",D29/B29)</f>
        <v>7.7987413111988091E-2</v>
      </c>
      <c r="F29" s="1155"/>
      <c r="G29" s="1156">
        <f>G25+G27</f>
        <v>12021041.25</v>
      </c>
      <c r="H29" s="1156">
        <f t="shared" ref="H29:I29" si="16">H25+H27</f>
        <v>14507112.560000001</v>
      </c>
      <c r="I29" s="1156">
        <f t="shared" si="16"/>
        <v>2486071.3100000005</v>
      </c>
      <c r="J29" s="1154">
        <f>IF(ISERROR(I29/G29),"-",I29/G29)</f>
        <v>0.20680998079097354</v>
      </c>
      <c r="K29" s="1155"/>
      <c r="L29" s="1156">
        <f>L25+L27</f>
        <v>12021041.25</v>
      </c>
      <c r="M29" s="1156">
        <f t="shared" ref="M29" si="17">M25+M27</f>
        <v>9703554.9900000002</v>
      </c>
      <c r="N29" s="1156">
        <f>N25+N27</f>
        <v>-2317486.2599999993</v>
      </c>
      <c r="O29" s="1157">
        <f>IF(ISERROR(N29/L29),"-",N29/L29)</f>
        <v>-0.19278581711879569</v>
      </c>
      <c r="P29" s="1155"/>
      <c r="Q29" s="1156">
        <f>Q25+Q27</f>
        <v>12021041.25</v>
      </c>
      <c r="R29" s="1156">
        <f>R25+R27</f>
        <v>19127708.300000001</v>
      </c>
      <c r="S29" s="1156">
        <f>S25+S27</f>
        <v>7106667.0499999998</v>
      </c>
      <c r="T29" s="1157">
        <f t="shared" ref="T29" si="18">IF(ISERROR(S29/Q29),"-",S29/Q29)</f>
        <v>0.59118564708360843</v>
      </c>
      <c r="U29" s="1155"/>
      <c r="V29" s="1144">
        <f>V25+V27</f>
        <v>48084165</v>
      </c>
      <c r="W29" s="1144">
        <f t="shared" ref="W29:X29" si="19">W25+W27</f>
        <v>56296907.00999999</v>
      </c>
      <c r="X29" s="1144">
        <f t="shared" si="19"/>
        <v>8212742.0099999988</v>
      </c>
      <c r="Y29" s="1157">
        <f>IF(ISERROR(X29/V29),"-",X29/V29)</f>
        <v>0.17079930596694357</v>
      </c>
      <c r="Z29" s="1158"/>
      <c r="AA29" s="1144">
        <f>AA25+AA27</f>
        <v>48084164.649999999</v>
      </c>
      <c r="AB29" s="1144">
        <f>AB25+AB27</f>
        <v>-8212742.3599999957</v>
      </c>
      <c r="AC29" s="1157">
        <f>IF(ISERROR(AB29/AA29),"-",AB29/AA29)</f>
        <v>-0.17079931448907881</v>
      </c>
      <c r="AD29" s="175"/>
      <c r="AE29" s="858"/>
    </row>
    <row r="30" spans="1:33" x14ac:dyDescent="0.3">
      <c r="A30" s="242"/>
      <c r="B30" s="450"/>
      <c r="C30" s="451"/>
      <c r="D30" s="451"/>
      <c r="E30" s="251"/>
      <c r="F30" s="184"/>
      <c r="G30" s="463"/>
      <c r="H30" s="464"/>
      <c r="I30" s="464"/>
      <c r="J30" s="254"/>
      <c r="K30" s="184"/>
      <c r="L30" s="450"/>
      <c r="M30" s="451"/>
      <c r="N30" s="451"/>
      <c r="O30" s="225"/>
      <c r="P30" s="184"/>
      <c r="Q30" s="463"/>
      <c r="R30" s="464"/>
      <c r="S30" s="464"/>
      <c r="T30" s="255"/>
      <c r="U30" s="184"/>
      <c r="V30" s="450"/>
      <c r="W30" s="451"/>
      <c r="X30" s="451"/>
      <c r="Y30" s="225"/>
      <c r="Z30" s="188"/>
      <c r="AA30" s="450"/>
      <c r="AB30" s="451"/>
      <c r="AC30" s="225"/>
      <c r="AD30" s="184"/>
      <c r="AE30" s="861"/>
    </row>
    <row r="31" spans="1:33" x14ac:dyDescent="0.3">
      <c r="A31" s="172" t="s">
        <v>76</v>
      </c>
      <c r="B31" s="450"/>
      <c r="C31" s="451"/>
      <c r="D31" s="451"/>
      <c r="E31" s="251"/>
      <c r="F31" s="184"/>
      <c r="G31" s="463"/>
      <c r="H31" s="464"/>
      <c r="I31" s="464"/>
      <c r="J31" s="254"/>
      <c r="K31" s="184"/>
      <c r="L31" s="450"/>
      <c r="M31" s="451"/>
      <c r="N31" s="451"/>
      <c r="O31" s="225"/>
      <c r="P31" s="184"/>
      <c r="Q31" s="463"/>
      <c r="R31" s="464"/>
      <c r="S31" s="464"/>
      <c r="T31" s="255"/>
      <c r="U31" s="184"/>
      <c r="V31" s="450"/>
      <c r="W31" s="451"/>
      <c r="X31" s="451"/>
      <c r="Y31" s="225"/>
      <c r="Z31" s="188"/>
      <c r="AA31" s="450"/>
      <c r="AB31" s="451"/>
      <c r="AC31" s="225"/>
      <c r="AD31" s="184"/>
      <c r="AE31" s="861"/>
    </row>
    <row r="32" spans="1:33" x14ac:dyDescent="0.3">
      <c r="A32" s="172" t="s">
        <v>77</v>
      </c>
      <c r="F32" s="191"/>
      <c r="K32" s="191"/>
      <c r="P32" s="191"/>
      <c r="U32" s="191"/>
      <c r="Z32" s="188"/>
      <c r="AD32" s="191"/>
      <c r="AE32" s="859"/>
    </row>
    <row r="33" spans="1:31" x14ac:dyDescent="0.3">
      <c r="A33" s="190" t="s">
        <v>78</v>
      </c>
      <c r="B33" s="450">
        <v>1071470.25</v>
      </c>
      <c r="C33" s="451">
        <v>1007300.29</v>
      </c>
      <c r="D33" s="452">
        <f t="shared" ref="D33:D39" si="20">C33-B33</f>
        <v>-64169.959999999963</v>
      </c>
      <c r="E33" s="220">
        <f t="shared" ref="E33:E39" si="21">IF(ISERROR(D33/B33),"-",D33/B33)</f>
        <v>-5.988963295994449E-2</v>
      </c>
      <c r="F33" s="191"/>
      <c r="G33" s="463">
        <v>1071470.25</v>
      </c>
      <c r="H33" s="464">
        <v>990113.26</v>
      </c>
      <c r="I33" s="452">
        <f t="shared" ref="I33:I39" si="22">H33-G33</f>
        <v>-81356.989999999991</v>
      </c>
      <c r="J33" s="221">
        <f t="shared" ref="J33:J39" si="23">IF(ISERROR(I33/G33),"-",I33/G33)</f>
        <v>-7.5930236980448124E-2</v>
      </c>
      <c r="K33" s="191"/>
      <c r="L33" s="450">
        <v>1071470.25</v>
      </c>
      <c r="M33" s="450">
        <v>966206.35</v>
      </c>
      <c r="N33" s="452">
        <f t="shared" ref="N33:N39" si="24">M33-L33</f>
        <v>-105263.90000000002</v>
      </c>
      <c r="O33" s="222">
        <f t="shared" ref="O33:O39" si="25">IF(ISERROR(N33/L33),"-",N33/L33)</f>
        <v>-9.8242485033998864E-2</v>
      </c>
      <c r="P33" s="191"/>
      <c r="Q33" s="463">
        <v>1071470.25</v>
      </c>
      <c r="R33" s="463">
        <v>931169.68</v>
      </c>
      <c r="S33" s="452">
        <f t="shared" ref="S33:S39" si="26">R33-Q33</f>
        <v>-140300.56999999995</v>
      </c>
      <c r="T33" s="223">
        <f t="shared" ref="T33:T40" si="27">IF(ISERROR(S33/Q33),"-",S33/Q33)</f>
        <v>-0.1309421050187814</v>
      </c>
      <c r="U33" s="191"/>
      <c r="V33" s="450">
        <f t="shared" ref="V33:W39" si="28">B33+G33+L33+Q33</f>
        <v>4285881</v>
      </c>
      <c r="W33" s="451">
        <f t="shared" si="28"/>
        <v>3894789.58</v>
      </c>
      <c r="X33" s="452">
        <f t="shared" ref="X33:X39" si="29">W33-V33</f>
        <v>-391091.41999999993</v>
      </c>
      <c r="Y33" s="222">
        <f t="shared" ref="Y33:Y39" si="30">IF(ISERROR(X33/V33),"-",X33/V33)</f>
        <v>-9.125111499829322E-2</v>
      </c>
      <c r="Z33" s="188"/>
      <c r="AA33" s="450">
        <v>4285881</v>
      </c>
      <c r="AB33" s="451">
        <f t="shared" ref="AB33:AB39" si="31">AA33-W33</f>
        <v>391091.41999999993</v>
      </c>
      <c r="AC33" s="222">
        <f t="shared" ref="AC33:AC39" si="32">IF(ISERROR(AB33/AA33),"-",AB33/AA33)</f>
        <v>9.125111499829322E-2</v>
      </c>
      <c r="AD33" s="191"/>
      <c r="AE33" s="1244" t="s">
        <v>219</v>
      </c>
    </row>
    <row r="34" spans="1:31" x14ac:dyDescent="0.3">
      <c r="A34" s="190" t="s">
        <v>79</v>
      </c>
      <c r="B34" s="450">
        <v>0</v>
      </c>
      <c r="C34" s="451">
        <v>0</v>
      </c>
      <c r="D34" s="452">
        <f t="shared" si="20"/>
        <v>0</v>
      </c>
      <c r="E34" s="220" t="str">
        <f t="shared" si="21"/>
        <v>-</v>
      </c>
      <c r="F34" s="191"/>
      <c r="G34" s="463">
        <v>0</v>
      </c>
      <c r="H34" s="464">
        <v>0</v>
      </c>
      <c r="I34" s="452">
        <f t="shared" si="22"/>
        <v>0</v>
      </c>
      <c r="J34" s="221" t="str">
        <f t="shared" si="23"/>
        <v>-</v>
      </c>
      <c r="K34" s="191"/>
      <c r="L34" s="450">
        <v>0</v>
      </c>
      <c r="M34" s="450">
        <v>0</v>
      </c>
      <c r="N34" s="452">
        <f t="shared" si="24"/>
        <v>0</v>
      </c>
      <c r="O34" s="222" t="str">
        <f t="shared" si="25"/>
        <v>-</v>
      </c>
      <c r="P34" s="191"/>
      <c r="Q34" s="463"/>
      <c r="R34" s="463"/>
      <c r="S34" s="452">
        <f t="shared" si="26"/>
        <v>0</v>
      </c>
      <c r="T34" s="223" t="str">
        <f t="shared" si="27"/>
        <v>-</v>
      </c>
      <c r="U34" s="191"/>
      <c r="V34" s="450">
        <f t="shared" si="28"/>
        <v>0</v>
      </c>
      <c r="W34" s="451">
        <f t="shared" si="28"/>
        <v>0</v>
      </c>
      <c r="X34" s="452">
        <f t="shared" si="29"/>
        <v>0</v>
      </c>
      <c r="Y34" s="222" t="str">
        <f t="shared" si="30"/>
        <v>-</v>
      </c>
      <c r="Z34" s="188"/>
      <c r="AA34" s="450">
        <v>0</v>
      </c>
      <c r="AB34" s="451">
        <f t="shared" si="31"/>
        <v>0</v>
      </c>
      <c r="AC34" s="222" t="str">
        <f t="shared" si="32"/>
        <v>-</v>
      </c>
      <c r="AD34" s="191"/>
      <c r="AE34" s="1245"/>
    </row>
    <row r="35" spans="1:31" x14ac:dyDescent="0.3">
      <c r="A35" s="190" t="s">
        <v>81</v>
      </c>
      <c r="B35" s="450">
        <v>216250</v>
      </c>
      <c r="C35" s="451">
        <v>38696.400000000001</v>
      </c>
      <c r="D35" s="452">
        <f t="shared" si="20"/>
        <v>-177553.6</v>
      </c>
      <c r="E35" s="220">
        <f t="shared" si="21"/>
        <v>-0.82105710982658964</v>
      </c>
      <c r="F35" s="256"/>
      <c r="G35" s="463">
        <v>216250</v>
      </c>
      <c r="H35" s="464">
        <v>80389.8</v>
      </c>
      <c r="I35" s="452">
        <f t="shared" si="22"/>
        <v>-135860.20000000001</v>
      </c>
      <c r="J35" s="221">
        <f t="shared" si="23"/>
        <v>-0.62825526011560695</v>
      </c>
      <c r="K35" s="256"/>
      <c r="L35" s="450">
        <v>216250</v>
      </c>
      <c r="M35" s="450">
        <v>56247.25</v>
      </c>
      <c r="N35" s="452">
        <f t="shared" si="24"/>
        <v>-160002.75</v>
      </c>
      <c r="O35" s="222">
        <f t="shared" si="25"/>
        <v>-0.73989710982658963</v>
      </c>
      <c r="P35" s="256"/>
      <c r="Q35" s="463">
        <v>216250</v>
      </c>
      <c r="R35" s="463">
        <v>55695.6</v>
      </c>
      <c r="S35" s="452">
        <f t="shared" si="26"/>
        <v>-160554.4</v>
      </c>
      <c r="T35" s="223">
        <f t="shared" si="27"/>
        <v>-0.7424480924855491</v>
      </c>
      <c r="U35" s="256"/>
      <c r="V35" s="450">
        <f t="shared" si="28"/>
        <v>865000</v>
      </c>
      <c r="W35" s="451">
        <f t="shared" si="28"/>
        <v>231029.05000000002</v>
      </c>
      <c r="X35" s="452">
        <f t="shared" si="29"/>
        <v>-633970.94999999995</v>
      </c>
      <c r="Y35" s="222">
        <f t="shared" si="30"/>
        <v>-0.73291439306358375</v>
      </c>
      <c r="Z35" s="257"/>
      <c r="AA35" s="450">
        <v>865000</v>
      </c>
      <c r="AB35" s="451">
        <f t="shared" si="31"/>
        <v>633970.94999999995</v>
      </c>
      <c r="AC35" s="222">
        <f t="shared" si="32"/>
        <v>0.73291439306358375</v>
      </c>
      <c r="AD35" s="256"/>
      <c r="AE35" s="1246" t="s">
        <v>220</v>
      </c>
    </row>
    <row r="36" spans="1:31" x14ac:dyDescent="0.3">
      <c r="A36" s="190" t="s">
        <v>106</v>
      </c>
      <c r="B36" s="450">
        <v>42500</v>
      </c>
      <c r="C36" s="451">
        <v>33901.83</v>
      </c>
      <c r="D36" s="452">
        <f t="shared" si="20"/>
        <v>-8598.1699999999983</v>
      </c>
      <c r="E36" s="220">
        <f t="shared" si="21"/>
        <v>-0.20230988235294114</v>
      </c>
      <c r="F36" s="256"/>
      <c r="G36" s="463">
        <v>42500</v>
      </c>
      <c r="H36" s="464">
        <v>23400.9</v>
      </c>
      <c r="I36" s="452">
        <f t="shared" si="22"/>
        <v>-19099.099999999999</v>
      </c>
      <c r="J36" s="221">
        <f t="shared" si="23"/>
        <v>-0.4493905882352941</v>
      </c>
      <c r="K36" s="256"/>
      <c r="L36" s="450">
        <v>42500</v>
      </c>
      <c r="M36" s="450">
        <v>35272.82</v>
      </c>
      <c r="N36" s="452">
        <f t="shared" si="24"/>
        <v>-7227.18</v>
      </c>
      <c r="O36" s="222">
        <f t="shared" si="25"/>
        <v>-0.17005129411764708</v>
      </c>
      <c r="P36" s="256"/>
      <c r="Q36" s="463">
        <v>42500</v>
      </c>
      <c r="R36" s="463">
        <v>34637.919999999998</v>
      </c>
      <c r="S36" s="452">
        <f t="shared" si="26"/>
        <v>-7862.0800000000017</v>
      </c>
      <c r="T36" s="223">
        <f t="shared" si="27"/>
        <v>-0.18499011764705886</v>
      </c>
      <c r="U36" s="256"/>
      <c r="V36" s="450">
        <f t="shared" si="28"/>
        <v>170000</v>
      </c>
      <c r="W36" s="451">
        <f t="shared" si="28"/>
        <v>127213.47</v>
      </c>
      <c r="X36" s="452">
        <f t="shared" si="29"/>
        <v>-42786.53</v>
      </c>
      <c r="Y36" s="222">
        <f t="shared" si="30"/>
        <v>-0.25168547058823526</v>
      </c>
      <c r="Z36" s="257"/>
      <c r="AA36" s="450">
        <v>170000</v>
      </c>
      <c r="AB36" s="451">
        <f t="shared" si="31"/>
        <v>42786.53</v>
      </c>
      <c r="AC36" s="222">
        <f t="shared" si="32"/>
        <v>0.25168547058823526</v>
      </c>
      <c r="AD36" s="256"/>
      <c r="AE36" s="1247" t="s">
        <v>221</v>
      </c>
    </row>
    <row r="37" spans="1:31" x14ac:dyDescent="0.3">
      <c r="A37" s="190" t="s">
        <v>80</v>
      </c>
      <c r="B37" s="450">
        <v>19850</v>
      </c>
      <c r="C37" s="451">
        <v>14621.72</v>
      </c>
      <c r="D37" s="452">
        <f t="shared" si="20"/>
        <v>-5228.2800000000007</v>
      </c>
      <c r="E37" s="220">
        <f t="shared" si="21"/>
        <v>-0.26338942065491189</v>
      </c>
      <c r="F37" s="191"/>
      <c r="G37" s="463">
        <v>19850</v>
      </c>
      <c r="H37" s="464">
        <v>10906.1</v>
      </c>
      <c r="I37" s="452">
        <f t="shared" si="22"/>
        <v>-8943.9</v>
      </c>
      <c r="J37" s="221">
        <f t="shared" si="23"/>
        <v>-0.45057430730478587</v>
      </c>
      <c r="K37" s="191"/>
      <c r="L37" s="450">
        <v>17550</v>
      </c>
      <c r="M37" s="450">
        <v>12380.52</v>
      </c>
      <c r="N37" s="452">
        <f t="shared" si="24"/>
        <v>-5169.4799999999996</v>
      </c>
      <c r="O37" s="222">
        <f t="shared" si="25"/>
        <v>-0.29455726495726492</v>
      </c>
      <c r="P37" s="191"/>
      <c r="Q37" s="463">
        <v>17550</v>
      </c>
      <c r="R37" s="463">
        <v>11539.93</v>
      </c>
      <c r="S37" s="452">
        <f t="shared" si="26"/>
        <v>-6010.07</v>
      </c>
      <c r="T37" s="223">
        <f t="shared" si="27"/>
        <v>-0.34245413105413103</v>
      </c>
      <c r="U37" s="191"/>
      <c r="V37" s="450">
        <f t="shared" si="28"/>
        <v>74800</v>
      </c>
      <c r="W37" s="451">
        <f t="shared" si="28"/>
        <v>49448.27</v>
      </c>
      <c r="X37" s="452">
        <f t="shared" si="29"/>
        <v>-25351.730000000003</v>
      </c>
      <c r="Y37" s="222">
        <f t="shared" si="30"/>
        <v>-0.33892687165775404</v>
      </c>
      <c r="Z37" s="188"/>
      <c r="AA37" s="450">
        <v>79400</v>
      </c>
      <c r="AB37" s="451">
        <f t="shared" si="31"/>
        <v>29951.730000000003</v>
      </c>
      <c r="AC37" s="222">
        <f t="shared" si="32"/>
        <v>0.37722581863979854</v>
      </c>
      <c r="AD37" s="191"/>
      <c r="AE37" s="1248" t="s">
        <v>222</v>
      </c>
    </row>
    <row r="38" spans="1:31" x14ac:dyDescent="0.3">
      <c r="A38" s="190" t="s">
        <v>130</v>
      </c>
      <c r="B38" s="450">
        <v>68750</v>
      </c>
      <c r="C38" s="451">
        <v>42504.46</v>
      </c>
      <c r="D38" s="452">
        <f t="shared" si="20"/>
        <v>-26245.54</v>
      </c>
      <c r="E38" s="220">
        <f t="shared" si="21"/>
        <v>-0.3817533090909091</v>
      </c>
      <c r="F38" s="191"/>
      <c r="G38" s="463">
        <v>68750</v>
      </c>
      <c r="H38" s="464">
        <v>49915.03</v>
      </c>
      <c r="I38" s="452">
        <f t="shared" si="22"/>
        <v>-18834.97</v>
      </c>
      <c r="J38" s="221">
        <f t="shared" si="23"/>
        <v>-0.27396320000000002</v>
      </c>
      <c r="K38" s="191"/>
      <c r="L38" s="450">
        <v>68750</v>
      </c>
      <c r="M38" s="450">
        <v>50334.74</v>
      </c>
      <c r="N38" s="452">
        <f t="shared" si="24"/>
        <v>-18415.260000000002</v>
      </c>
      <c r="O38" s="222">
        <f t="shared" si="25"/>
        <v>-0.26785832727272729</v>
      </c>
      <c r="P38" s="191"/>
      <c r="Q38" s="463">
        <v>68750</v>
      </c>
      <c r="R38" s="463">
        <v>65430.74</v>
      </c>
      <c r="S38" s="452">
        <f t="shared" si="26"/>
        <v>-3319.260000000002</v>
      </c>
      <c r="T38" s="223">
        <f t="shared" si="27"/>
        <v>-4.8280145454545481E-2</v>
      </c>
      <c r="U38" s="191"/>
      <c r="V38" s="450">
        <f t="shared" si="28"/>
        <v>275000</v>
      </c>
      <c r="W38" s="451">
        <f t="shared" si="28"/>
        <v>208184.96999999997</v>
      </c>
      <c r="X38" s="452">
        <f t="shared" si="29"/>
        <v>-66815.030000000028</v>
      </c>
      <c r="Y38" s="222">
        <f t="shared" si="30"/>
        <v>-0.24296374545454555</v>
      </c>
      <c r="Z38" s="188"/>
      <c r="AA38" s="450">
        <v>275000</v>
      </c>
      <c r="AB38" s="451">
        <f t="shared" si="31"/>
        <v>66815.030000000028</v>
      </c>
      <c r="AC38" s="222">
        <f t="shared" si="32"/>
        <v>0.24296374545454555</v>
      </c>
      <c r="AD38" s="191"/>
      <c r="AE38" s="1247" t="s">
        <v>223</v>
      </c>
    </row>
    <row r="39" spans="1:31" x14ac:dyDescent="0.3">
      <c r="A39" s="190" t="s">
        <v>129</v>
      </c>
      <c r="B39" s="450">
        <v>1250</v>
      </c>
      <c r="C39" s="451">
        <v>0</v>
      </c>
      <c r="D39" s="452">
        <f t="shared" si="20"/>
        <v>-1250</v>
      </c>
      <c r="E39" s="220">
        <f t="shared" si="21"/>
        <v>-1</v>
      </c>
      <c r="F39" s="191"/>
      <c r="G39" s="463">
        <v>1250</v>
      </c>
      <c r="H39" s="464">
        <v>0</v>
      </c>
      <c r="I39" s="452">
        <f t="shared" si="22"/>
        <v>-1250</v>
      </c>
      <c r="J39" s="221">
        <f t="shared" si="23"/>
        <v>-1</v>
      </c>
      <c r="K39" s="191"/>
      <c r="L39" s="450">
        <v>1250</v>
      </c>
      <c r="M39" s="450">
        <v>2688.2</v>
      </c>
      <c r="N39" s="452">
        <f t="shared" si="24"/>
        <v>1438.1999999999998</v>
      </c>
      <c r="O39" s="222">
        <f t="shared" si="25"/>
        <v>1.1505599999999998</v>
      </c>
      <c r="P39" s="191"/>
      <c r="Q39" s="463">
        <v>1250</v>
      </c>
      <c r="R39" s="463">
        <v>0</v>
      </c>
      <c r="S39" s="452">
        <f t="shared" si="26"/>
        <v>-1250</v>
      </c>
      <c r="T39" s="223">
        <f t="shared" si="27"/>
        <v>-1</v>
      </c>
      <c r="U39" s="191"/>
      <c r="V39" s="450">
        <f t="shared" si="28"/>
        <v>5000</v>
      </c>
      <c r="W39" s="451">
        <f t="shared" si="28"/>
        <v>2688.2</v>
      </c>
      <c r="X39" s="452">
        <f t="shared" si="29"/>
        <v>-2311.8000000000002</v>
      </c>
      <c r="Y39" s="222">
        <f t="shared" si="30"/>
        <v>-0.46236000000000005</v>
      </c>
      <c r="Z39" s="188"/>
      <c r="AA39" s="450">
        <v>5000</v>
      </c>
      <c r="AB39" s="451">
        <f t="shared" si="31"/>
        <v>2311.8000000000002</v>
      </c>
      <c r="AC39" s="222">
        <f t="shared" si="32"/>
        <v>0.46236000000000005</v>
      </c>
      <c r="AD39" s="191"/>
      <c r="AE39" s="1247" t="s">
        <v>224</v>
      </c>
    </row>
    <row r="40" spans="1:31" x14ac:dyDescent="0.3">
      <c r="A40" s="258" t="s">
        <v>40</v>
      </c>
      <c r="B40" s="477">
        <v>0.25</v>
      </c>
      <c r="C40" s="478">
        <v>0</v>
      </c>
      <c r="D40" s="452">
        <f t="shared" ref="D40" si="33">C40-B40</f>
        <v>-0.25</v>
      </c>
      <c r="E40" s="259">
        <f t="shared" ref="E40:E41" si="34">IF(ISERROR(D40/B40),"-",D40/B40)</f>
        <v>-1</v>
      </c>
      <c r="F40" s="184"/>
      <c r="G40" s="479">
        <v>0.25</v>
      </c>
      <c r="H40" s="480">
        <v>0</v>
      </c>
      <c r="I40" s="452">
        <f t="shared" ref="I40" si="35">H40-G40</f>
        <v>-0.25</v>
      </c>
      <c r="J40" s="260">
        <f t="shared" ref="J40:J41" si="36">IF(ISERROR(I40/G40),"-",I40/G40)</f>
        <v>-1</v>
      </c>
      <c r="K40" s="184"/>
      <c r="L40" s="450">
        <v>0</v>
      </c>
      <c r="M40" s="450">
        <v>0</v>
      </c>
      <c r="N40" s="452">
        <f t="shared" ref="N40" si="37">M40-L40</f>
        <v>0</v>
      </c>
      <c r="O40" s="261" t="str">
        <f t="shared" ref="O40:O41" si="38">IF(ISERROR(N40/L40),"-",N40/L40)</f>
        <v>-</v>
      </c>
      <c r="P40" s="184"/>
      <c r="Q40" s="463">
        <v>0.25</v>
      </c>
      <c r="R40" s="463">
        <v>0</v>
      </c>
      <c r="S40" s="452">
        <f t="shared" ref="S40" si="39">R40-Q40</f>
        <v>-0.25</v>
      </c>
      <c r="T40" s="223">
        <f t="shared" si="27"/>
        <v>-1</v>
      </c>
      <c r="U40" s="184"/>
      <c r="V40" s="450">
        <f t="shared" ref="V40" si="40">B40+G40+L40+Q40</f>
        <v>0.75</v>
      </c>
      <c r="W40" s="451">
        <f t="shared" ref="W40" si="41">C40+H40+M40+R40</f>
        <v>0</v>
      </c>
      <c r="X40" s="452">
        <f t="shared" ref="X40" si="42">W40-V40</f>
        <v>-0.75</v>
      </c>
      <c r="Y40" s="261">
        <f t="shared" ref="Y40:Y41" si="43">IF(ISERROR(X40/V40),"-",X40/V40)</f>
        <v>-1</v>
      </c>
      <c r="Z40" s="188"/>
      <c r="AA40" s="477">
        <v>1</v>
      </c>
      <c r="AB40" s="451">
        <f t="shared" ref="AB40" si="44">AA40-W40</f>
        <v>1</v>
      </c>
      <c r="AC40" s="222">
        <f t="shared" ref="AC40" si="45">IF(ISERROR(AB40/AA40),"-",AB40/AA40)</f>
        <v>1</v>
      </c>
      <c r="AD40" s="184"/>
      <c r="AE40" s="859"/>
    </row>
    <row r="41" spans="1:31" x14ac:dyDescent="0.3">
      <c r="A41" s="199" t="s">
        <v>83</v>
      </c>
      <c r="B41" s="469">
        <f>SUM(B33:B40)</f>
        <v>1420070.5</v>
      </c>
      <c r="C41" s="470">
        <f>SUM(C33:C40)</f>
        <v>1137024.7</v>
      </c>
      <c r="D41" s="470">
        <f>SUM(D33:D40)</f>
        <v>-283045.8</v>
      </c>
      <c r="E41" s="237">
        <f t="shared" si="34"/>
        <v>-0.19931813244483285</v>
      </c>
      <c r="F41" s="191"/>
      <c r="G41" s="469">
        <f>SUM(G33:G40)</f>
        <v>1420070.5</v>
      </c>
      <c r="H41" s="470">
        <f>SUM(H33:H40)</f>
        <v>1154725.0900000001</v>
      </c>
      <c r="I41" s="470">
        <f>SUM(I33:I40)</f>
        <v>-265345.41000000003</v>
      </c>
      <c r="J41" s="237">
        <f t="shared" si="36"/>
        <v>-0.18685368789788959</v>
      </c>
      <c r="K41" s="191"/>
      <c r="L41" s="469">
        <f>SUM(L33:L40)</f>
        <v>1417770.25</v>
      </c>
      <c r="M41" s="470">
        <f>SUM(M33:M40)</f>
        <v>1123129.8799999999</v>
      </c>
      <c r="N41" s="470">
        <f>SUM(N33:N40)</f>
        <v>-294640.37</v>
      </c>
      <c r="O41" s="238">
        <f t="shared" si="38"/>
        <v>-0.20781954622055301</v>
      </c>
      <c r="P41" s="191"/>
      <c r="Q41" s="469">
        <f>SUM(Q33:Q40)</f>
        <v>1417770.5</v>
      </c>
      <c r="R41" s="470">
        <f>SUM(R33:R40)</f>
        <v>1098473.8700000001</v>
      </c>
      <c r="S41" s="470">
        <f>SUM(S33:S40)</f>
        <v>-319296.63</v>
      </c>
      <c r="T41" s="238">
        <f t="shared" ref="T41" si="46">IF(ISERROR(S41/Q41),"-",S41/Q41)</f>
        <v>-0.22521037784324049</v>
      </c>
      <c r="U41" s="191"/>
      <c r="V41" s="469">
        <f>SUM(V33:V40)</f>
        <v>5675681.75</v>
      </c>
      <c r="W41" s="470">
        <f>SUM(W33:W40)</f>
        <v>4513353.5399999991</v>
      </c>
      <c r="X41" s="470">
        <f>SUM(X33:X40)</f>
        <v>-1162328.21</v>
      </c>
      <c r="Y41" s="238">
        <f t="shared" si="43"/>
        <v>-0.20479094163445652</v>
      </c>
      <c r="Z41" s="188"/>
      <c r="AA41" s="471">
        <f>SUM(AA33:AA40)</f>
        <v>5680282</v>
      </c>
      <c r="AB41" s="472">
        <f>SUM(AB33:AB40)</f>
        <v>1166928.46</v>
      </c>
      <c r="AC41" s="264">
        <f t="shared" ref="AC41" si="47">IF(ISERROR(AB41/AA41),"-",AB41/AA41)</f>
        <v>0.20543495199710154</v>
      </c>
      <c r="AD41" s="184"/>
      <c r="AE41" s="861"/>
    </row>
    <row r="42" spans="1:31" x14ac:dyDescent="0.3">
      <c r="A42" s="242"/>
      <c r="B42" s="459"/>
      <c r="C42" s="460"/>
      <c r="D42" s="460"/>
      <c r="E42" s="213"/>
      <c r="F42" s="184"/>
      <c r="G42" s="461"/>
      <c r="H42" s="462"/>
      <c r="I42" s="462"/>
      <c r="J42" s="216"/>
      <c r="K42" s="184"/>
      <c r="L42" s="459"/>
      <c r="M42" s="460"/>
      <c r="N42" s="460"/>
      <c r="O42" s="217"/>
      <c r="P42" s="184"/>
      <c r="Q42" s="461"/>
      <c r="R42" s="462"/>
      <c r="S42" s="462"/>
      <c r="T42" s="265"/>
      <c r="U42" s="184"/>
      <c r="V42" s="459"/>
      <c r="W42" s="460"/>
      <c r="X42" s="460"/>
      <c r="Y42" s="217"/>
      <c r="Z42" s="188"/>
      <c r="AA42" s="459"/>
      <c r="AB42" s="460"/>
      <c r="AC42" s="217"/>
      <c r="AD42" s="175"/>
      <c r="AE42" s="861"/>
    </row>
    <row r="43" spans="1:31" x14ac:dyDescent="0.3">
      <c r="A43" s="172" t="s">
        <v>84</v>
      </c>
      <c r="B43" s="481"/>
      <c r="C43" s="482"/>
      <c r="D43" s="482"/>
      <c r="E43" s="268"/>
      <c r="F43" s="175"/>
      <c r="G43" s="483"/>
      <c r="H43" s="484"/>
      <c r="I43" s="484"/>
      <c r="J43" s="271"/>
      <c r="K43" s="175"/>
      <c r="L43" s="481"/>
      <c r="M43" s="482"/>
      <c r="N43" s="482"/>
      <c r="O43" s="272"/>
      <c r="P43" s="175"/>
      <c r="Q43" s="483"/>
      <c r="R43" s="484"/>
      <c r="S43" s="484"/>
      <c r="T43" s="273"/>
      <c r="U43" s="175"/>
      <c r="V43" s="481"/>
      <c r="W43" s="482"/>
      <c r="X43" s="451"/>
      <c r="Y43" s="225"/>
      <c r="Z43" s="179"/>
      <c r="AA43" s="481"/>
      <c r="AB43" s="451"/>
      <c r="AC43" s="225"/>
      <c r="AD43" s="191"/>
      <c r="AE43" s="1249"/>
    </row>
    <row r="44" spans="1:31" x14ac:dyDescent="0.3">
      <c r="A44" s="190" t="s">
        <v>85</v>
      </c>
      <c r="B44" s="463">
        <v>12500</v>
      </c>
      <c r="C44" s="677">
        <v>2638.62</v>
      </c>
      <c r="D44" s="452">
        <f t="shared" ref="D44:D75" si="48">C44-B44</f>
        <v>-9861.380000000001</v>
      </c>
      <c r="E44" s="220">
        <f t="shared" ref="E44:E76" si="49">IF(ISERROR(D44/B44),"-",D44/B44)</f>
        <v>-0.78891040000000012</v>
      </c>
      <c r="F44" s="191"/>
      <c r="G44" s="485">
        <v>12500</v>
      </c>
      <c r="H44" s="485">
        <v>110</v>
      </c>
      <c r="I44" s="452">
        <f t="shared" ref="I44:I75" si="50">H44-G44</f>
        <v>-12390</v>
      </c>
      <c r="J44" s="221">
        <f t="shared" ref="J44:J75" si="51">IF(ISERROR(I44/G44),"-",I44/G44)</f>
        <v>-0.99119999999999997</v>
      </c>
      <c r="K44" s="191"/>
      <c r="L44" s="485">
        <v>12500</v>
      </c>
      <c r="M44" s="485">
        <v>4898.6499999999996</v>
      </c>
      <c r="N44" s="452">
        <f t="shared" ref="N44:N75" si="52">M44-L44</f>
        <v>-7601.35</v>
      </c>
      <c r="O44" s="222">
        <f t="shared" ref="O44:O72" si="53">IF(ISERROR(N44/L44),"-",N44/L44)</f>
        <v>-0.60810799999999998</v>
      </c>
      <c r="P44" s="191"/>
      <c r="Q44" s="485">
        <v>12500</v>
      </c>
      <c r="R44" s="485">
        <v>7754.75</v>
      </c>
      <c r="S44" s="452">
        <f t="shared" ref="S44:S75" si="54">R44-Q44</f>
        <v>-4745.25</v>
      </c>
      <c r="T44" s="223">
        <f t="shared" ref="T44:T72" si="55">IF(ISERROR(S44/Q44),"-",S44/Q44)</f>
        <v>-0.37962000000000001</v>
      </c>
      <c r="U44" s="191"/>
      <c r="V44" s="450">
        <f>B44+G44+L44+Q44</f>
        <v>50000</v>
      </c>
      <c r="W44" s="451">
        <f>C44+H44+M44+R44</f>
        <v>15402.02</v>
      </c>
      <c r="X44" s="452">
        <f>W44-V44</f>
        <v>-34597.979999999996</v>
      </c>
      <c r="Y44" s="222">
        <f>IF(ISERROR(X44/V44),"-",X44/V44)</f>
        <v>-0.6919595999999999</v>
      </c>
      <c r="Z44" s="188"/>
      <c r="AA44" s="450">
        <v>50000</v>
      </c>
      <c r="AB44" s="451">
        <f>AA44-W44</f>
        <v>34597.979999999996</v>
      </c>
      <c r="AC44" s="222">
        <f>IF(ISERROR(AB44/AA44),"-",AB44/AA44)</f>
        <v>0.6919595999999999</v>
      </c>
      <c r="AD44" s="256"/>
      <c r="AE44" s="1250"/>
    </row>
    <row r="45" spans="1:31" x14ac:dyDescent="0.3">
      <c r="A45" s="190" t="s">
        <v>128</v>
      </c>
      <c r="B45" s="463">
        <v>62500</v>
      </c>
      <c r="C45" s="464">
        <v>16129.2</v>
      </c>
      <c r="D45" s="452">
        <f t="shared" si="48"/>
        <v>-46370.8</v>
      </c>
      <c r="E45" s="220">
        <f t="shared" si="49"/>
        <v>-0.74193280000000006</v>
      </c>
      <c r="F45" s="256"/>
      <c r="G45" s="485">
        <v>62500</v>
      </c>
      <c r="H45" s="706">
        <v>5376.4</v>
      </c>
      <c r="I45" s="452">
        <f t="shared" si="50"/>
        <v>-57123.6</v>
      </c>
      <c r="J45" s="221">
        <f t="shared" si="51"/>
        <v>-0.91397759999999995</v>
      </c>
      <c r="K45" s="256"/>
      <c r="L45" s="485">
        <v>62500</v>
      </c>
      <c r="M45" s="485">
        <v>5376.4</v>
      </c>
      <c r="N45" s="452">
        <f t="shared" si="52"/>
        <v>-57123.6</v>
      </c>
      <c r="O45" s="222">
        <f t="shared" si="53"/>
        <v>-0.91397759999999995</v>
      </c>
      <c r="P45" s="256"/>
      <c r="Q45" s="485">
        <v>62500</v>
      </c>
      <c r="R45" s="485">
        <v>217445.94</v>
      </c>
      <c r="S45" s="452">
        <f t="shared" si="54"/>
        <v>154945.94</v>
      </c>
      <c r="T45" s="223">
        <f t="shared" si="55"/>
        <v>2.4791350400000001</v>
      </c>
      <c r="U45" s="256"/>
      <c r="V45" s="450">
        <f t="shared" ref="V45:V75" si="56">B45+G45+L45+Q45</f>
        <v>250000</v>
      </c>
      <c r="W45" s="451">
        <f t="shared" ref="W45:W75" si="57">C45+H45+M45+R45</f>
        <v>244327.94</v>
      </c>
      <c r="X45" s="452">
        <f t="shared" ref="X45:X75" si="58">W45-V45</f>
        <v>-5672.0599999999977</v>
      </c>
      <c r="Y45" s="222">
        <f t="shared" ref="Y45:Y76" si="59">IF(ISERROR(X45/V45),"-",X45/V45)</f>
        <v>-2.2688239999999991E-2</v>
      </c>
      <c r="Z45" s="257"/>
      <c r="AA45" s="450">
        <v>250000</v>
      </c>
      <c r="AB45" s="451">
        <f t="shared" ref="AB45:AB75" si="60">AA45-W45</f>
        <v>5672.0599999999977</v>
      </c>
      <c r="AC45" s="222">
        <f t="shared" ref="AC45:AC75" si="61">IF(ISERROR(AB45/AA45),"-",AB45/AA45)</f>
        <v>2.2688239999999991E-2</v>
      </c>
      <c r="AD45" s="256"/>
      <c r="AE45" s="861"/>
    </row>
    <row r="46" spans="1:31" x14ac:dyDescent="0.3">
      <c r="A46" s="190" t="s">
        <v>127</v>
      </c>
      <c r="B46" s="463">
        <v>0</v>
      </c>
      <c r="C46" s="464">
        <v>0</v>
      </c>
      <c r="D46" s="452">
        <f t="shared" si="48"/>
        <v>0</v>
      </c>
      <c r="E46" s="220" t="str">
        <f t="shared" si="49"/>
        <v>-</v>
      </c>
      <c r="F46" s="256"/>
      <c r="G46" s="485">
        <v>0</v>
      </c>
      <c r="H46" s="706">
        <v>0</v>
      </c>
      <c r="I46" s="452">
        <f t="shared" si="50"/>
        <v>0</v>
      </c>
      <c r="J46" s="221" t="str">
        <f t="shared" si="51"/>
        <v>-</v>
      </c>
      <c r="K46" s="256"/>
      <c r="L46" s="485">
        <v>0</v>
      </c>
      <c r="M46" s="485">
        <v>0</v>
      </c>
      <c r="N46" s="452">
        <f t="shared" si="52"/>
        <v>0</v>
      </c>
      <c r="O46" s="222" t="str">
        <f t="shared" si="53"/>
        <v>-</v>
      </c>
      <c r="P46" s="256"/>
      <c r="Q46" s="485">
        <v>0</v>
      </c>
      <c r="R46" s="485">
        <v>0</v>
      </c>
      <c r="S46" s="452">
        <f t="shared" si="54"/>
        <v>0</v>
      </c>
      <c r="T46" s="223" t="str">
        <f t="shared" si="55"/>
        <v>-</v>
      </c>
      <c r="U46" s="256"/>
      <c r="V46" s="450">
        <f t="shared" si="56"/>
        <v>0</v>
      </c>
      <c r="W46" s="451">
        <f t="shared" si="57"/>
        <v>0</v>
      </c>
      <c r="X46" s="452">
        <f t="shared" si="58"/>
        <v>0</v>
      </c>
      <c r="Y46" s="222" t="str">
        <f t="shared" si="59"/>
        <v>-</v>
      </c>
      <c r="Z46" s="257"/>
      <c r="AA46" s="450">
        <v>0</v>
      </c>
      <c r="AB46" s="451">
        <f t="shared" si="60"/>
        <v>0</v>
      </c>
      <c r="AC46" s="222" t="str">
        <f t="shared" si="61"/>
        <v>-</v>
      </c>
      <c r="AD46" s="256"/>
      <c r="AE46" s="1249"/>
    </row>
    <row r="47" spans="1:31" x14ac:dyDescent="0.3">
      <c r="A47" s="190" t="s">
        <v>86</v>
      </c>
      <c r="B47" s="463">
        <v>4125</v>
      </c>
      <c r="C47" s="464">
        <v>4035.85</v>
      </c>
      <c r="D47" s="452">
        <f t="shared" si="48"/>
        <v>-89.150000000000091</v>
      </c>
      <c r="E47" s="220">
        <f t="shared" si="49"/>
        <v>-2.1612121212121235E-2</v>
      </c>
      <c r="F47" s="256"/>
      <c r="G47" s="485">
        <v>4125</v>
      </c>
      <c r="H47" s="485">
        <v>5224.33</v>
      </c>
      <c r="I47" s="452">
        <f t="shared" si="50"/>
        <v>1099.33</v>
      </c>
      <c r="J47" s="221">
        <f t="shared" si="51"/>
        <v>0.26650424242424242</v>
      </c>
      <c r="K47" s="256"/>
      <c r="L47" s="485">
        <v>4125</v>
      </c>
      <c r="M47" s="485">
        <v>4670.34</v>
      </c>
      <c r="N47" s="452">
        <f t="shared" si="52"/>
        <v>545.34000000000015</v>
      </c>
      <c r="O47" s="222">
        <f t="shared" si="53"/>
        <v>0.13220363636363641</v>
      </c>
      <c r="P47" s="256"/>
      <c r="Q47" s="485">
        <v>4125</v>
      </c>
      <c r="R47" s="485">
        <v>5263.45</v>
      </c>
      <c r="S47" s="452">
        <f t="shared" si="54"/>
        <v>1138.4499999999998</v>
      </c>
      <c r="T47" s="223">
        <f t="shared" si="55"/>
        <v>0.27598787878787873</v>
      </c>
      <c r="U47" s="256"/>
      <c r="V47" s="450">
        <f t="shared" si="56"/>
        <v>16500</v>
      </c>
      <c r="W47" s="451">
        <f t="shared" si="57"/>
        <v>19193.97</v>
      </c>
      <c r="X47" s="452">
        <f t="shared" si="58"/>
        <v>2693.9700000000012</v>
      </c>
      <c r="Y47" s="222">
        <f t="shared" si="59"/>
        <v>0.16327090909090916</v>
      </c>
      <c r="Z47" s="257"/>
      <c r="AA47" s="450">
        <v>12000</v>
      </c>
      <c r="AB47" s="451">
        <f t="shared" si="60"/>
        <v>-7193.9700000000012</v>
      </c>
      <c r="AC47" s="222">
        <f t="shared" si="61"/>
        <v>-0.59949750000000013</v>
      </c>
      <c r="AD47" s="256"/>
      <c r="AE47" s="861"/>
    </row>
    <row r="48" spans="1:31" x14ac:dyDescent="0.3">
      <c r="A48" s="190" t="s">
        <v>87</v>
      </c>
      <c r="B48" s="463">
        <v>10500</v>
      </c>
      <c r="C48" s="464">
        <v>3733.18</v>
      </c>
      <c r="D48" s="452">
        <f t="shared" si="48"/>
        <v>-6766.82</v>
      </c>
      <c r="E48" s="220">
        <f t="shared" si="49"/>
        <v>-0.6444590476190476</v>
      </c>
      <c r="F48" s="256"/>
      <c r="G48" s="485">
        <v>10500</v>
      </c>
      <c r="H48" s="485">
        <v>7614.68</v>
      </c>
      <c r="I48" s="452">
        <f t="shared" si="50"/>
        <v>-2885.3199999999997</v>
      </c>
      <c r="J48" s="221">
        <f t="shared" si="51"/>
        <v>-0.2747923809523809</v>
      </c>
      <c r="K48" s="256"/>
      <c r="L48" s="485">
        <v>10500</v>
      </c>
      <c r="M48" s="485">
        <v>3590.55</v>
      </c>
      <c r="N48" s="452">
        <f t="shared" si="52"/>
        <v>-6909.45</v>
      </c>
      <c r="O48" s="222">
        <f t="shared" si="53"/>
        <v>-0.65804285714285715</v>
      </c>
      <c r="P48" s="256"/>
      <c r="Q48" s="485">
        <v>10500</v>
      </c>
      <c r="R48" s="485">
        <v>3510.76</v>
      </c>
      <c r="S48" s="452">
        <f t="shared" si="54"/>
        <v>-6989.24</v>
      </c>
      <c r="T48" s="223">
        <f t="shared" si="55"/>
        <v>-0.66564190476190477</v>
      </c>
      <c r="U48" s="256"/>
      <c r="V48" s="450">
        <f t="shared" si="56"/>
        <v>42000</v>
      </c>
      <c r="W48" s="451">
        <f t="shared" si="57"/>
        <v>18449.169999999998</v>
      </c>
      <c r="X48" s="452">
        <f t="shared" si="58"/>
        <v>-23550.83</v>
      </c>
      <c r="Y48" s="222">
        <f t="shared" si="59"/>
        <v>-0.56073404761904766</v>
      </c>
      <c r="Z48" s="257"/>
      <c r="AA48" s="450">
        <v>47000</v>
      </c>
      <c r="AB48" s="451">
        <f t="shared" si="60"/>
        <v>28550.83</v>
      </c>
      <c r="AC48" s="222">
        <f t="shared" si="61"/>
        <v>0.60746446808510646</v>
      </c>
      <c r="AD48" s="191"/>
      <c r="AE48" s="1248" t="s">
        <v>225</v>
      </c>
    </row>
    <row r="49" spans="1:31" ht="24.75" customHeight="1" x14ac:dyDescent="0.3">
      <c r="A49" s="190" t="s">
        <v>88</v>
      </c>
      <c r="B49" s="463">
        <v>31250</v>
      </c>
      <c r="C49" s="464">
        <v>21251.21</v>
      </c>
      <c r="D49" s="452">
        <f t="shared" si="48"/>
        <v>-9998.7900000000009</v>
      </c>
      <c r="E49" s="220">
        <f t="shared" si="49"/>
        <v>-0.31996128000000001</v>
      </c>
      <c r="F49" s="191"/>
      <c r="G49" s="485">
        <v>31250</v>
      </c>
      <c r="H49" s="485">
        <v>12422.72</v>
      </c>
      <c r="I49" s="452">
        <f t="shared" si="50"/>
        <v>-18827.28</v>
      </c>
      <c r="J49" s="221">
        <f t="shared" si="51"/>
        <v>-0.60247295999999995</v>
      </c>
      <c r="K49" s="191"/>
      <c r="L49" s="485">
        <v>31250</v>
      </c>
      <c r="M49" s="485">
        <v>17202.240000000002</v>
      </c>
      <c r="N49" s="452">
        <f t="shared" si="52"/>
        <v>-14047.759999999998</v>
      </c>
      <c r="O49" s="222">
        <f t="shared" si="53"/>
        <v>-0.44952831999999993</v>
      </c>
      <c r="P49" s="191"/>
      <c r="Q49" s="485">
        <v>31250</v>
      </c>
      <c r="R49" s="485">
        <v>22363.52</v>
      </c>
      <c r="S49" s="452">
        <f t="shared" si="54"/>
        <v>-8886.48</v>
      </c>
      <c r="T49" s="223">
        <f t="shared" si="55"/>
        <v>-0.28436736000000001</v>
      </c>
      <c r="U49" s="191"/>
      <c r="V49" s="450">
        <f t="shared" si="56"/>
        <v>125000</v>
      </c>
      <c r="W49" s="451">
        <f t="shared" si="57"/>
        <v>73239.69</v>
      </c>
      <c r="X49" s="452">
        <f t="shared" si="58"/>
        <v>-51760.31</v>
      </c>
      <c r="Y49" s="222">
        <f t="shared" si="59"/>
        <v>-0.41408247999999998</v>
      </c>
      <c r="Z49" s="188"/>
      <c r="AA49" s="450">
        <v>125000</v>
      </c>
      <c r="AB49" s="451">
        <f t="shared" si="60"/>
        <v>51760.31</v>
      </c>
      <c r="AC49" s="222">
        <f t="shared" si="61"/>
        <v>0.41408247999999998</v>
      </c>
      <c r="AD49" s="191"/>
      <c r="AE49" s="1183" t="s">
        <v>226</v>
      </c>
    </row>
    <row r="50" spans="1:31" ht="94.5" x14ac:dyDescent="0.3">
      <c r="A50" s="190" t="s">
        <v>89</v>
      </c>
      <c r="B50" s="463">
        <v>254250</v>
      </c>
      <c r="C50" s="464">
        <v>106105.76</v>
      </c>
      <c r="D50" s="452">
        <f t="shared" si="48"/>
        <v>-148144.24</v>
      </c>
      <c r="E50" s="220">
        <f t="shared" si="49"/>
        <v>-0.58267154375614549</v>
      </c>
      <c r="F50" s="191"/>
      <c r="G50" s="485">
        <v>254250</v>
      </c>
      <c r="H50" s="485">
        <v>108008.31</v>
      </c>
      <c r="I50" s="452">
        <f t="shared" si="50"/>
        <v>-146241.69</v>
      </c>
      <c r="J50" s="221">
        <f t="shared" si="51"/>
        <v>-0.57518855457227136</v>
      </c>
      <c r="K50" s="191"/>
      <c r="L50" s="485">
        <v>254250</v>
      </c>
      <c r="M50" s="485">
        <v>375758.43</v>
      </c>
      <c r="N50" s="452">
        <f t="shared" si="52"/>
        <v>121508.43</v>
      </c>
      <c r="O50" s="222">
        <f t="shared" si="53"/>
        <v>0.4779092625368731</v>
      </c>
      <c r="P50" s="191"/>
      <c r="Q50" s="485">
        <v>254250</v>
      </c>
      <c r="R50" s="485">
        <v>189354.52</v>
      </c>
      <c r="S50" s="452">
        <f t="shared" si="54"/>
        <v>-64895.48000000001</v>
      </c>
      <c r="T50" s="223">
        <f t="shared" si="55"/>
        <v>-0.25524279252704035</v>
      </c>
      <c r="U50" s="191"/>
      <c r="V50" s="450">
        <f t="shared" si="56"/>
        <v>1017000</v>
      </c>
      <c r="W50" s="451">
        <f t="shared" si="57"/>
        <v>779227.02</v>
      </c>
      <c r="X50" s="452">
        <f t="shared" si="58"/>
        <v>-237772.97999999998</v>
      </c>
      <c r="Y50" s="222">
        <f t="shared" si="59"/>
        <v>-0.233798407079646</v>
      </c>
      <c r="Z50" s="188"/>
      <c r="AA50" s="450">
        <v>1017000</v>
      </c>
      <c r="AB50" s="451">
        <f>AA50-W50</f>
        <v>237772.97999999998</v>
      </c>
      <c r="AC50" s="222">
        <f t="shared" si="61"/>
        <v>0.233798407079646</v>
      </c>
      <c r="AD50" s="191"/>
      <c r="AE50" s="1184" t="s">
        <v>227</v>
      </c>
    </row>
    <row r="51" spans="1:31" x14ac:dyDescent="0.3">
      <c r="A51" s="190" t="s">
        <v>113</v>
      </c>
      <c r="B51" s="463">
        <v>0</v>
      </c>
      <c r="C51" s="464">
        <v>0</v>
      </c>
      <c r="D51" s="452">
        <f t="shared" si="48"/>
        <v>0</v>
      </c>
      <c r="E51" s="220" t="str">
        <f t="shared" si="49"/>
        <v>-</v>
      </c>
      <c r="F51" s="191"/>
      <c r="G51" s="485">
        <v>0</v>
      </c>
      <c r="H51" s="485">
        <v>0</v>
      </c>
      <c r="I51" s="452">
        <f t="shared" si="50"/>
        <v>0</v>
      </c>
      <c r="J51" s="221" t="str">
        <f t="shared" si="51"/>
        <v>-</v>
      </c>
      <c r="K51" s="191"/>
      <c r="L51" s="485">
        <v>0</v>
      </c>
      <c r="M51" s="485">
        <v>0</v>
      </c>
      <c r="N51" s="452">
        <f t="shared" si="52"/>
        <v>0</v>
      </c>
      <c r="O51" s="222" t="str">
        <f t="shared" si="53"/>
        <v>-</v>
      </c>
      <c r="P51" s="191"/>
      <c r="Q51" s="485">
        <v>0</v>
      </c>
      <c r="R51" s="485">
        <v>0</v>
      </c>
      <c r="S51" s="452">
        <f t="shared" si="54"/>
        <v>0</v>
      </c>
      <c r="T51" s="223" t="str">
        <f t="shared" si="55"/>
        <v>-</v>
      </c>
      <c r="U51" s="191"/>
      <c r="V51" s="450">
        <f t="shared" si="56"/>
        <v>0</v>
      </c>
      <c r="W51" s="451">
        <f t="shared" si="57"/>
        <v>0</v>
      </c>
      <c r="X51" s="452">
        <f t="shared" si="58"/>
        <v>0</v>
      </c>
      <c r="Y51" s="222" t="str">
        <f t="shared" si="59"/>
        <v>-</v>
      </c>
      <c r="Z51" s="188"/>
      <c r="AA51" s="450">
        <v>0</v>
      </c>
      <c r="AB51" s="451">
        <f t="shared" si="60"/>
        <v>0</v>
      </c>
      <c r="AC51" s="222" t="str">
        <f t="shared" si="61"/>
        <v>-</v>
      </c>
      <c r="AD51" s="256"/>
      <c r="AE51" s="861"/>
    </row>
    <row r="52" spans="1:31" x14ac:dyDescent="0.3">
      <c r="A52" s="190" t="s">
        <v>126</v>
      </c>
      <c r="B52" s="463">
        <v>0</v>
      </c>
      <c r="C52" s="464">
        <v>0</v>
      </c>
      <c r="D52" s="452">
        <f t="shared" si="48"/>
        <v>0</v>
      </c>
      <c r="E52" s="220" t="str">
        <f t="shared" si="49"/>
        <v>-</v>
      </c>
      <c r="F52" s="256"/>
      <c r="G52" s="485">
        <v>0</v>
      </c>
      <c r="H52" s="485">
        <v>0</v>
      </c>
      <c r="I52" s="452">
        <f t="shared" si="50"/>
        <v>0</v>
      </c>
      <c r="J52" s="221" t="str">
        <f t="shared" si="51"/>
        <v>-</v>
      </c>
      <c r="K52" s="256"/>
      <c r="L52" s="485">
        <v>0</v>
      </c>
      <c r="M52" s="485">
        <v>0</v>
      </c>
      <c r="N52" s="452">
        <f t="shared" si="52"/>
        <v>0</v>
      </c>
      <c r="O52" s="222" t="str">
        <f t="shared" si="53"/>
        <v>-</v>
      </c>
      <c r="P52" s="256"/>
      <c r="Q52" s="485">
        <v>0</v>
      </c>
      <c r="R52" s="485">
        <v>0</v>
      </c>
      <c r="S52" s="452">
        <f t="shared" si="54"/>
        <v>0</v>
      </c>
      <c r="T52" s="223" t="str">
        <f t="shared" si="55"/>
        <v>-</v>
      </c>
      <c r="U52" s="256"/>
      <c r="V52" s="450">
        <f t="shared" si="56"/>
        <v>0</v>
      </c>
      <c r="W52" s="451">
        <f t="shared" si="57"/>
        <v>0</v>
      </c>
      <c r="X52" s="452">
        <f t="shared" si="58"/>
        <v>0</v>
      </c>
      <c r="Y52" s="222" t="str">
        <f t="shared" si="59"/>
        <v>-</v>
      </c>
      <c r="Z52" s="257"/>
      <c r="AA52" s="450">
        <v>1000000</v>
      </c>
      <c r="AB52" s="451">
        <f t="shared" si="60"/>
        <v>1000000</v>
      </c>
      <c r="AC52" s="222">
        <f t="shared" si="61"/>
        <v>1</v>
      </c>
      <c r="AD52" s="256"/>
      <c r="AE52" s="1248" t="s">
        <v>228</v>
      </c>
    </row>
    <row r="53" spans="1:31" x14ac:dyDescent="0.3">
      <c r="A53" s="190" t="s">
        <v>82</v>
      </c>
      <c r="B53" s="463">
        <v>60000</v>
      </c>
      <c r="C53" s="464">
        <v>41496.769999999997</v>
      </c>
      <c r="D53" s="452">
        <f t="shared" si="48"/>
        <v>-18503.230000000003</v>
      </c>
      <c r="E53" s="220">
        <f t="shared" si="49"/>
        <v>-0.30838716666666671</v>
      </c>
      <c r="F53" s="256"/>
      <c r="G53" s="485">
        <v>60000</v>
      </c>
      <c r="H53" s="485">
        <v>41351.620000000003</v>
      </c>
      <c r="I53" s="452">
        <f t="shared" si="50"/>
        <v>-18648.379999999997</v>
      </c>
      <c r="J53" s="221">
        <f t="shared" si="51"/>
        <v>-0.3108063333333333</v>
      </c>
      <c r="K53" s="256"/>
      <c r="L53" s="485">
        <v>60000</v>
      </c>
      <c r="M53" s="485">
        <v>38545.160000000003</v>
      </c>
      <c r="N53" s="452">
        <f t="shared" si="52"/>
        <v>-21454.839999999997</v>
      </c>
      <c r="O53" s="222">
        <f t="shared" si="53"/>
        <v>-0.3575806666666666</v>
      </c>
      <c r="P53" s="256"/>
      <c r="Q53" s="485">
        <v>60000</v>
      </c>
      <c r="R53" s="485">
        <v>49706.45</v>
      </c>
      <c r="S53" s="452">
        <f t="shared" si="54"/>
        <v>-10293.550000000003</v>
      </c>
      <c r="T53" s="223">
        <f t="shared" si="55"/>
        <v>-0.17155916666666671</v>
      </c>
      <c r="U53" s="256"/>
      <c r="V53" s="450">
        <f t="shared" si="56"/>
        <v>240000</v>
      </c>
      <c r="W53" s="451">
        <f t="shared" si="57"/>
        <v>171100</v>
      </c>
      <c r="X53" s="452">
        <f t="shared" si="58"/>
        <v>-68900</v>
      </c>
      <c r="Y53" s="222">
        <f t="shared" si="59"/>
        <v>-0.28708333333333336</v>
      </c>
      <c r="Z53" s="257"/>
      <c r="AA53" s="450">
        <v>240000</v>
      </c>
      <c r="AB53" s="451">
        <f t="shared" si="60"/>
        <v>68900</v>
      </c>
      <c r="AC53" s="222">
        <f t="shared" si="61"/>
        <v>0.28708333333333336</v>
      </c>
      <c r="AD53" s="256"/>
      <c r="AE53" s="1248" t="s">
        <v>229</v>
      </c>
    </row>
    <row r="54" spans="1:31" x14ac:dyDescent="0.3">
      <c r="A54" s="190" t="s">
        <v>125</v>
      </c>
      <c r="B54" s="463">
        <v>0</v>
      </c>
      <c r="C54" s="464">
        <v>0</v>
      </c>
      <c r="D54" s="452">
        <f t="shared" si="48"/>
        <v>0</v>
      </c>
      <c r="E54" s="220" t="str">
        <f t="shared" si="49"/>
        <v>-</v>
      </c>
      <c r="F54" s="256"/>
      <c r="G54" s="485">
        <v>0</v>
      </c>
      <c r="H54" s="706">
        <v>0</v>
      </c>
      <c r="I54" s="452">
        <f t="shared" si="50"/>
        <v>0</v>
      </c>
      <c r="J54" s="221" t="str">
        <f t="shared" si="51"/>
        <v>-</v>
      </c>
      <c r="K54" s="256"/>
      <c r="L54" s="485">
        <v>0</v>
      </c>
      <c r="M54" s="485">
        <v>0</v>
      </c>
      <c r="N54" s="452">
        <f t="shared" si="52"/>
        <v>0</v>
      </c>
      <c r="O54" s="222" t="str">
        <f t="shared" si="53"/>
        <v>-</v>
      </c>
      <c r="P54" s="256"/>
      <c r="Q54" s="485">
        <v>0</v>
      </c>
      <c r="R54" s="485">
        <v>0</v>
      </c>
      <c r="S54" s="452">
        <f t="shared" si="54"/>
        <v>0</v>
      </c>
      <c r="T54" s="223" t="str">
        <f t="shared" si="55"/>
        <v>-</v>
      </c>
      <c r="U54" s="256"/>
      <c r="V54" s="450">
        <f t="shared" si="56"/>
        <v>0</v>
      </c>
      <c r="W54" s="451">
        <f t="shared" si="57"/>
        <v>0</v>
      </c>
      <c r="X54" s="452">
        <f t="shared" si="58"/>
        <v>0</v>
      </c>
      <c r="Y54" s="222"/>
      <c r="Z54" s="257"/>
      <c r="AA54" s="450">
        <v>0</v>
      </c>
      <c r="AB54" s="451">
        <f t="shared" si="60"/>
        <v>0</v>
      </c>
      <c r="AC54" s="222" t="str">
        <f t="shared" si="61"/>
        <v>-</v>
      </c>
      <c r="AD54" s="256"/>
      <c r="AE54" s="859"/>
    </row>
    <row r="55" spans="1:31" x14ac:dyDescent="0.3">
      <c r="A55" s="190" t="s">
        <v>90</v>
      </c>
      <c r="B55" s="463">
        <v>5250</v>
      </c>
      <c r="C55" s="464">
        <v>0</v>
      </c>
      <c r="D55" s="452">
        <f t="shared" si="48"/>
        <v>-5250</v>
      </c>
      <c r="E55" s="220">
        <f t="shared" si="49"/>
        <v>-1</v>
      </c>
      <c r="F55" s="256"/>
      <c r="G55" s="485">
        <v>5250</v>
      </c>
      <c r="H55" s="485">
        <v>21338.79</v>
      </c>
      <c r="I55" s="452">
        <f t="shared" si="50"/>
        <v>16088.79</v>
      </c>
      <c r="J55" s="221">
        <f t="shared" si="51"/>
        <v>3.0645314285714287</v>
      </c>
      <c r="K55" s="256"/>
      <c r="L55" s="485">
        <v>5250</v>
      </c>
      <c r="M55" s="485">
        <v>0</v>
      </c>
      <c r="N55" s="452">
        <f t="shared" si="52"/>
        <v>-5250</v>
      </c>
      <c r="O55" s="222">
        <f t="shared" si="53"/>
        <v>-1</v>
      </c>
      <c r="P55" s="256"/>
      <c r="Q55" s="485">
        <v>5250</v>
      </c>
      <c r="R55" s="485">
        <v>0</v>
      </c>
      <c r="S55" s="452">
        <f t="shared" si="54"/>
        <v>-5250</v>
      </c>
      <c r="T55" s="223">
        <f t="shared" si="55"/>
        <v>-1</v>
      </c>
      <c r="U55" s="256"/>
      <c r="V55" s="450">
        <f t="shared" si="56"/>
        <v>21000</v>
      </c>
      <c r="W55" s="451">
        <f t="shared" si="57"/>
        <v>21338.79</v>
      </c>
      <c r="X55" s="452">
        <f t="shared" si="58"/>
        <v>338.79000000000087</v>
      </c>
      <c r="Y55" s="222">
        <f t="shared" si="59"/>
        <v>1.6132857142857185E-2</v>
      </c>
      <c r="Z55" s="257"/>
      <c r="AA55" s="450">
        <v>21000</v>
      </c>
      <c r="AB55" s="451">
        <f t="shared" si="60"/>
        <v>-338.79000000000087</v>
      </c>
      <c r="AC55" s="222">
        <f t="shared" si="61"/>
        <v>-1.6132857142857185E-2</v>
      </c>
      <c r="AD55" s="256"/>
      <c r="AE55" s="861"/>
    </row>
    <row r="56" spans="1:31" x14ac:dyDescent="0.3">
      <c r="A56" s="190" t="s">
        <v>91</v>
      </c>
      <c r="B56" s="463">
        <v>2500</v>
      </c>
      <c r="C56" s="464">
        <v>4712.59</v>
      </c>
      <c r="D56" s="452">
        <f t="shared" si="48"/>
        <v>2212.59</v>
      </c>
      <c r="E56" s="220">
        <f t="shared" si="49"/>
        <v>0.88503600000000004</v>
      </c>
      <c r="F56" s="256"/>
      <c r="G56" s="485">
        <v>2500</v>
      </c>
      <c r="H56" s="485">
        <v>500</v>
      </c>
      <c r="I56" s="452">
        <f t="shared" si="50"/>
        <v>-2000</v>
      </c>
      <c r="J56" s="221">
        <f t="shared" si="51"/>
        <v>-0.8</v>
      </c>
      <c r="K56" s="256"/>
      <c r="L56" s="485">
        <v>2500</v>
      </c>
      <c r="M56" s="485">
        <v>925.72</v>
      </c>
      <c r="N56" s="452">
        <f t="shared" si="52"/>
        <v>-1574.28</v>
      </c>
      <c r="O56" s="222">
        <f t="shared" si="53"/>
        <v>-0.62971199999999994</v>
      </c>
      <c r="P56" s="256"/>
      <c r="Q56" s="485">
        <v>2500</v>
      </c>
      <c r="R56" s="485">
        <v>2907.17</v>
      </c>
      <c r="S56" s="452">
        <f t="shared" si="54"/>
        <v>407.17000000000007</v>
      </c>
      <c r="T56" s="223">
        <f t="shared" si="55"/>
        <v>0.16286800000000004</v>
      </c>
      <c r="U56" s="256"/>
      <c r="V56" s="450">
        <f t="shared" si="56"/>
        <v>10000</v>
      </c>
      <c r="W56" s="451">
        <f t="shared" si="57"/>
        <v>9045.48</v>
      </c>
      <c r="X56" s="452">
        <f t="shared" si="58"/>
        <v>-954.52000000000044</v>
      </c>
      <c r="Y56" s="222">
        <f t="shared" si="59"/>
        <v>-9.5452000000000037E-2</v>
      </c>
      <c r="Z56" s="257"/>
      <c r="AA56" s="450">
        <v>10000</v>
      </c>
      <c r="AB56" s="451">
        <f t="shared" si="60"/>
        <v>954.52000000000044</v>
      </c>
      <c r="AC56" s="222">
        <f t="shared" si="61"/>
        <v>9.5452000000000037E-2</v>
      </c>
      <c r="AD56" s="256"/>
      <c r="AE56" s="861"/>
    </row>
    <row r="57" spans="1:31" x14ac:dyDescent="0.3">
      <c r="A57" s="190" t="s">
        <v>92</v>
      </c>
      <c r="B57" s="463">
        <v>17750</v>
      </c>
      <c r="C57" s="464">
        <v>14180.96</v>
      </c>
      <c r="D57" s="452">
        <f t="shared" si="48"/>
        <v>-3569.0400000000009</v>
      </c>
      <c r="E57" s="220">
        <f t="shared" si="49"/>
        <v>-0.20107267605633808</v>
      </c>
      <c r="F57" s="256"/>
      <c r="G57" s="485">
        <v>17750</v>
      </c>
      <c r="H57" s="485">
        <v>10173.15</v>
      </c>
      <c r="I57" s="452">
        <f t="shared" si="50"/>
        <v>-7576.85</v>
      </c>
      <c r="J57" s="221">
        <f t="shared" si="51"/>
        <v>-0.42686478873239436</v>
      </c>
      <c r="K57" s="256"/>
      <c r="L57" s="485">
        <v>17750</v>
      </c>
      <c r="M57" s="485">
        <v>18885.57</v>
      </c>
      <c r="N57" s="452">
        <f t="shared" si="52"/>
        <v>1135.5699999999997</v>
      </c>
      <c r="O57" s="222">
        <f t="shared" si="53"/>
        <v>6.3975774647887312E-2</v>
      </c>
      <c r="P57" s="256"/>
      <c r="Q57" s="485">
        <v>17750</v>
      </c>
      <c r="R57" s="485">
        <v>14124.85</v>
      </c>
      <c r="S57" s="452">
        <f t="shared" si="54"/>
        <v>-3625.1499999999996</v>
      </c>
      <c r="T57" s="223">
        <f t="shared" si="55"/>
        <v>-0.2042338028169014</v>
      </c>
      <c r="U57" s="256"/>
      <c r="V57" s="450">
        <f t="shared" si="56"/>
        <v>71000</v>
      </c>
      <c r="W57" s="451">
        <f t="shared" si="57"/>
        <v>57364.53</v>
      </c>
      <c r="X57" s="452">
        <f t="shared" si="58"/>
        <v>-13635.470000000001</v>
      </c>
      <c r="Y57" s="222">
        <f t="shared" si="59"/>
        <v>-0.19204887323943665</v>
      </c>
      <c r="Z57" s="257"/>
      <c r="AA57" s="450">
        <v>71000</v>
      </c>
      <c r="AB57" s="451">
        <f t="shared" si="60"/>
        <v>13635.470000000001</v>
      </c>
      <c r="AC57" s="222">
        <f t="shared" si="61"/>
        <v>0.19204887323943665</v>
      </c>
      <c r="AD57" s="256"/>
      <c r="AE57" s="859"/>
    </row>
    <row r="58" spans="1:31" x14ac:dyDescent="0.3">
      <c r="A58" s="190" t="s">
        <v>93</v>
      </c>
      <c r="B58" s="463">
        <v>12500</v>
      </c>
      <c r="C58" s="464">
        <v>0</v>
      </c>
      <c r="D58" s="452">
        <f t="shared" si="48"/>
        <v>-12500</v>
      </c>
      <c r="E58" s="220">
        <f t="shared" si="49"/>
        <v>-1</v>
      </c>
      <c r="F58" s="256"/>
      <c r="G58" s="485">
        <v>12500</v>
      </c>
      <c r="H58" s="485">
        <v>6419.58</v>
      </c>
      <c r="I58" s="452">
        <f t="shared" si="50"/>
        <v>-6080.42</v>
      </c>
      <c r="J58" s="221">
        <f t="shared" si="51"/>
        <v>-0.48643360000000002</v>
      </c>
      <c r="K58" s="256"/>
      <c r="L58" s="485">
        <v>12500</v>
      </c>
      <c r="M58" s="485">
        <v>33046.959999999999</v>
      </c>
      <c r="N58" s="452">
        <f t="shared" si="52"/>
        <v>20546.96</v>
      </c>
      <c r="O58" s="222">
        <f t="shared" si="53"/>
        <v>1.6437568</v>
      </c>
      <c r="P58" s="256"/>
      <c r="Q58" s="485">
        <v>12500</v>
      </c>
      <c r="R58" s="485">
        <v>32742.28</v>
      </c>
      <c r="S58" s="452">
        <f t="shared" si="54"/>
        <v>20242.28</v>
      </c>
      <c r="T58" s="223">
        <f t="shared" si="55"/>
        <v>1.6193823999999999</v>
      </c>
      <c r="U58" s="256"/>
      <c r="V58" s="450">
        <f t="shared" si="56"/>
        <v>50000</v>
      </c>
      <c r="W58" s="451">
        <f t="shared" si="57"/>
        <v>72208.820000000007</v>
      </c>
      <c r="X58" s="452">
        <f t="shared" si="58"/>
        <v>22208.820000000007</v>
      </c>
      <c r="Y58" s="222">
        <f t="shared" si="59"/>
        <v>0.44417640000000014</v>
      </c>
      <c r="Z58" s="257"/>
      <c r="AA58" s="450">
        <v>50000</v>
      </c>
      <c r="AB58" s="451">
        <f t="shared" si="60"/>
        <v>-22208.820000000007</v>
      </c>
      <c r="AC58" s="222">
        <f t="shared" si="61"/>
        <v>-0.44417640000000014</v>
      </c>
      <c r="AD58" s="256"/>
      <c r="AE58" s="1247" t="s">
        <v>230</v>
      </c>
    </row>
    <row r="59" spans="1:31" x14ac:dyDescent="0.3">
      <c r="A59" s="190" t="s">
        <v>94</v>
      </c>
      <c r="B59" s="463">
        <v>0</v>
      </c>
      <c r="C59" s="464">
        <v>0</v>
      </c>
      <c r="D59" s="452">
        <f t="shared" si="48"/>
        <v>0</v>
      </c>
      <c r="E59" s="220" t="str">
        <f t="shared" si="49"/>
        <v>-</v>
      </c>
      <c r="F59" s="256"/>
      <c r="G59" s="485">
        <v>0</v>
      </c>
      <c r="H59" s="706">
        <v>0</v>
      </c>
      <c r="I59" s="452">
        <f t="shared" si="50"/>
        <v>0</v>
      </c>
      <c r="J59" s="221" t="str">
        <f t="shared" si="51"/>
        <v>-</v>
      </c>
      <c r="K59" s="256"/>
      <c r="L59" s="485">
        <v>0</v>
      </c>
      <c r="M59" s="485">
        <v>0</v>
      </c>
      <c r="N59" s="452">
        <f t="shared" si="52"/>
        <v>0</v>
      </c>
      <c r="O59" s="222" t="str">
        <f t="shared" si="53"/>
        <v>-</v>
      </c>
      <c r="P59" s="256"/>
      <c r="Q59" s="485">
        <v>0</v>
      </c>
      <c r="R59" s="485">
        <v>0</v>
      </c>
      <c r="S59" s="452">
        <f t="shared" si="54"/>
        <v>0</v>
      </c>
      <c r="T59" s="223" t="str">
        <f t="shared" si="55"/>
        <v>-</v>
      </c>
      <c r="U59" s="256"/>
      <c r="V59" s="450">
        <f t="shared" si="56"/>
        <v>0</v>
      </c>
      <c r="W59" s="451">
        <f t="shared" si="57"/>
        <v>0</v>
      </c>
      <c r="X59" s="452">
        <f t="shared" si="58"/>
        <v>0</v>
      </c>
      <c r="Y59" s="222" t="str">
        <f t="shared" si="59"/>
        <v>-</v>
      </c>
      <c r="Z59" s="257"/>
      <c r="AA59" s="450">
        <v>0</v>
      </c>
      <c r="AB59" s="451">
        <f t="shared" si="60"/>
        <v>0</v>
      </c>
      <c r="AC59" s="222" t="str">
        <f t="shared" si="61"/>
        <v>-</v>
      </c>
      <c r="AD59" s="191"/>
      <c r="AE59" s="859"/>
    </row>
    <row r="60" spans="1:31" x14ac:dyDescent="0.3">
      <c r="A60" s="190" t="s">
        <v>95</v>
      </c>
      <c r="B60" s="463">
        <v>45750.5</v>
      </c>
      <c r="C60" s="464">
        <v>14272.56</v>
      </c>
      <c r="D60" s="452">
        <f t="shared" si="48"/>
        <v>-31477.940000000002</v>
      </c>
      <c r="E60" s="220">
        <f t="shared" si="49"/>
        <v>-0.68803488486464637</v>
      </c>
      <c r="F60" s="191"/>
      <c r="G60" s="485">
        <v>45750.5</v>
      </c>
      <c r="H60" s="485">
        <v>11384.97</v>
      </c>
      <c r="I60" s="452">
        <f t="shared" si="50"/>
        <v>-34365.53</v>
      </c>
      <c r="J60" s="221">
        <f t="shared" si="51"/>
        <v>-0.75115091638342746</v>
      </c>
      <c r="K60" s="191"/>
      <c r="L60" s="485">
        <v>45750.5</v>
      </c>
      <c r="M60" s="485">
        <v>23473.87</v>
      </c>
      <c r="N60" s="452">
        <f t="shared" si="52"/>
        <v>-22276.63</v>
      </c>
      <c r="O60" s="222">
        <f t="shared" si="53"/>
        <v>-0.48691555283548815</v>
      </c>
      <c r="P60" s="191"/>
      <c r="Q60" s="485">
        <v>45750.5</v>
      </c>
      <c r="R60" s="485">
        <v>14104.2</v>
      </c>
      <c r="S60" s="452">
        <f t="shared" si="54"/>
        <v>-31646.3</v>
      </c>
      <c r="T60" s="223">
        <f t="shared" si="55"/>
        <v>-0.69171484464650657</v>
      </c>
      <c r="U60" s="191"/>
      <c r="V60" s="450">
        <f t="shared" si="56"/>
        <v>183002</v>
      </c>
      <c r="W60" s="451">
        <f t="shared" si="57"/>
        <v>63235.599999999991</v>
      </c>
      <c r="X60" s="452">
        <f t="shared" si="58"/>
        <v>-119766.40000000001</v>
      </c>
      <c r="Y60" s="222">
        <f t="shared" si="59"/>
        <v>-0.65445404968251719</v>
      </c>
      <c r="Z60" s="188"/>
      <c r="AA60" s="450">
        <v>187600</v>
      </c>
      <c r="AB60" s="451">
        <f t="shared" si="60"/>
        <v>124364.40000000001</v>
      </c>
      <c r="AC60" s="222">
        <f t="shared" si="61"/>
        <v>0.66292324093816635</v>
      </c>
      <c r="AD60" s="191"/>
      <c r="AE60" s="1247" t="s">
        <v>231</v>
      </c>
    </row>
    <row r="61" spans="1:31" x14ac:dyDescent="0.3">
      <c r="A61" s="190" t="s">
        <v>96</v>
      </c>
      <c r="B61" s="463">
        <v>47775</v>
      </c>
      <c r="C61" s="464">
        <v>31554.27</v>
      </c>
      <c r="D61" s="452">
        <f t="shared" si="48"/>
        <v>-16220.73</v>
      </c>
      <c r="E61" s="220">
        <f t="shared" si="49"/>
        <v>-0.33952339089481948</v>
      </c>
      <c r="F61" s="191"/>
      <c r="G61" s="485">
        <v>47775</v>
      </c>
      <c r="H61" s="485">
        <v>32058.7</v>
      </c>
      <c r="I61" s="452">
        <f t="shared" si="50"/>
        <v>-15716.3</v>
      </c>
      <c r="J61" s="221">
        <f t="shared" si="51"/>
        <v>-0.32896493982208269</v>
      </c>
      <c r="K61" s="191"/>
      <c r="L61" s="485">
        <v>47775</v>
      </c>
      <c r="M61" s="485">
        <v>35091.78</v>
      </c>
      <c r="N61" s="452">
        <f t="shared" si="52"/>
        <v>-12683.220000000001</v>
      </c>
      <c r="O61" s="222">
        <f t="shared" si="53"/>
        <v>-0.26547817896389325</v>
      </c>
      <c r="P61" s="191"/>
      <c r="Q61" s="485">
        <v>47775</v>
      </c>
      <c r="R61" s="485">
        <v>37484.629999999997</v>
      </c>
      <c r="S61" s="452">
        <f t="shared" si="54"/>
        <v>-10290.370000000003</v>
      </c>
      <c r="T61" s="223">
        <f t="shared" si="55"/>
        <v>-0.21539236002093151</v>
      </c>
      <c r="U61" s="191"/>
      <c r="V61" s="450">
        <f t="shared" si="56"/>
        <v>191100</v>
      </c>
      <c r="W61" s="451">
        <f t="shared" si="57"/>
        <v>136189.38</v>
      </c>
      <c r="X61" s="452">
        <f t="shared" si="58"/>
        <v>-54910.619999999995</v>
      </c>
      <c r="Y61" s="222">
        <f t="shared" si="59"/>
        <v>-0.28733971742543168</v>
      </c>
      <c r="Z61" s="188"/>
      <c r="AA61" s="450">
        <v>230100</v>
      </c>
      <c r="AB61" s="451">
        <f t="shared" si="60"/>
        <v>93910.62</v>
      </c>
      <c r="AC61" s="222">
        <f t="shared" si="61"/>
        <v>0.40812959582790087</v>
      </c>
      <c r="AD61" s="191"/>
      <c r="AE61" s="1247" t="s">
        <v>232</v>
      </c>
    </row>
    <row r="62" spans="1:31" x14ac:dyDescent="0.3">
      <c r="A62" s="190" t="s">
        <v>110</v>
      </c>
      <c r="B62" s="463">
        <v>18750.25</v>
      </c>
      <c r="C62" s="464">
        <v>14639.74</v>
      </c>
      <c r="D62" s="452">
        <f t="shared" si="48"/>
        <v>-4110.51</v>
      </c>
      <c r="E62" s="220">
        <f t="shared" si="49"/>
        <v>-0.2192242770096399</v>
      </c>
      <c r="F62" s="191"/>
      <c r="G62" s="485">
        <v>18750.25</v>
      </c>
      <c r="H62" s="485">
        <v>19113.11</v>
      </c>
      <c r="I62" s="452">
        <f t="shared" si="50"/>
        <v>362.86000000000058</v>
      </c>
      <c r="J62" s="221">
        <f t="shared" si="51"/>
        <v>1.9352275302995992E-2</v>
      </c>
      <c r="K62" s="191"/>
      <c r="L62" s="485">
        <v>18750.25</v>
      </c>
      <c r="M62" s="485">
        <v>18051.8</v>
      </c>
      <c r="N62" s="452">
        <f t="shared" si="52"/>
        <v>-698.45000000000073</v>
      </c>
      <c r="O62" s="222">
        <f t="shared" si="53"/>
        <v>-3.7250169997733402E-2</v>
      </c>
      <c r="P62" s="191"/>
      <c r="Q62" s="485">
        <v>18750.25</v>
      </c>
      <c r="R62" s="485">
        <v>18027.07</v>
      </c>
      <c r="S62" s="452">
        <f t="shared" si="54"/>
        <v>-723.18000000000029</v>
      </c>
      <c r="T62" s="223">
        <f t="shared" si="55"/>
        <v>-3.856908574552341E-2</v>
      </c>
      <c r="U62" s="191"/>
      <c r="V62" s="450">
        <f t="shared" si="56"/>
        <v>75001</v>
      </c>
      <c r="W62" s="451">
        <f t="shared" si="57"/>
        <v>69831.72</v>
      </c>
      <c r="X62" s="452">
        <f t="shared" si="58"/>
        <v>-5169.2799999999988</v>
      </c>
      <c r="Y62" s="222">
        <f t="shared" si="59"/>
        <v>-6.8922814362475146E-2</v>
      </c>
      <c r="Z62" s="188"/>
      <c r="AA62" s="450">
        <v>75001</v>
      </c>
      <c r="AB62" s="451">
        <f t="shared" si="60"/>
        <v>5169.2799999999988</v>
      </c>
      <c r="AC62" s="222">
        <f t="shared" si="61"/>
        <v>6.8922814362475146E-2</v>
      </c>
      <c r="AD62" s="191"/>
      <c r="AE62" s="859"/>
    </row>
    <row r="63" spans="1:31" x14ac:dyDescent="0.3">
      <c r="A63" s="190" t="s">
        <v>124</v>
      </c>
      <c r="B63" s="463">
        <v>0</v>
      </c>
      <c r="C63" s="464">
        <v>0</v>
      </c>
      <c r="D63" s="452">
        <f t="shared" si="48"/>
        <v>0</v>
      </c>
      <c r="E63" s="220" t="str">
        <f t="shared" si="49"/>
        <v>-</v>
      </c>
      <c r="F63" s="191"/>
      <c r="G63" s="485">
        <v>0</v>
      </c>
      <c r="H63" s="706">
        <v>0</v>
      </c>
      <c r="I63" s="452">
        <f t="shared" si="50"/>
        <v>0</v>
      </c>
      <c r="J63" s="221" t="str">
        <f t="shared" si="51"/>
        <v>-</v>
      </c>
      <c r="K63" s="191"/>
      <c r="L63" s="485">
        <v>0</v>
      </c>
      <c r="M63" s="485">
        <v>0</v>
      </c>
      <c r="N63" s="452">
        <f t="shared" si="52"/>
        <v>0</v>
      </c>
      <c r="O63" s="222" t="str">
        <f t="shared" si="53"/>
        <v>-</v>
      </c>
      <c r="P63" s="191"/>
      <c r="Q63" s="485">
        <v>0</v>
      </c>
      <c r="R63" s="485">
        <v>0</v>
      </c>
      <c r="S63" s="452">
        <f t="shared" si="54"/>
        <v>0</v>
      </c>
      <c r="T63" s="223" t="str">
        <f t="shared" si="55"/>
        <v>-</v>
      </c>
      <c r="U63" s="191"/>
      <c r="V63" s="450">
        <f t="shared" si="56"/>
        <v>0</v>
      </c>
      <c r="W63" s="451">
        <f t="shared" si="57"/>
        <v>0</v>
      </c>
      <c r="X63" s="452">
        <f t="shared" si="58"/>
        <v>0</v>
      </c>
      <c r="Y63" s="222" t="str">
        <f t="shared" si="59"/>
        <v>-</v>
      </c>
      <c r="Z63" s="188"/>
      <c r="AA63" s="450">
        <v>0</v>
      </c>
      <c r="AB63" s="451">
        <f t="shared" si="60"/>
        <v>0</v>
      </c>
      <c r="AC63" s="222" t="str">
        <f t="shared" si="61"/>
        <v>-</v>
      </c>
      <c r="AD63" s="256"/>
      <c r="AE63" s="859"/>
    </row>
    <row r="64" spans="1:31" x14ac:dyDescent="0.3">
      <c r="A64" s="190" t="s">
        <v>123</v>
      </c>
      <c r="B64" s="463">
        <v>6862500.5</v>
      </c>
      <c r="C64" s="464">
        <v>5801167.5700000003</v>
      </c>
      <c r="D64" s="452">
        <f t="shared" si="48"/>
        <v>-1061332.9299999997</v>
      </c>
      <c r="E64" s="220">
        <f t="shared" si="49"/>
        <v>-0.15465688199221256</v>
      </c>
      <c r="F64" s="256"/>
      <c r="G64" s="485">
        <v>6862500.5</v>
      </c>
      <c r="H64" s="485">
        <v>7278877.0700000003</v>
      </c>
      <c r="I64" s="452">
        <f t="shared" si="50"/>
        <v>416376.5700000003</v>
      </c>
      <c r="J64" s="221">
        <f t="shared" si="51"/>
        <v>6.067417700006001E-2</v>
      </c>
      <c r="K64" s="256"/>
      <c r="L64" s="485">
        <v>6862500.5</v>
      </c>
      <c r="M64" s="485">
        <v>6558238.6600000001</v>
      </c>
      <c r="N64" s="452">
        <f t="shared" si="52"/>
        <v>-304261.83999999985</v>
      </c>
      <c r="O64" s="222">
        <f t="shared" si="53"/>
        <v>-4.4336876915345921E-2</v>
      </c>
      <c r="P64" s="256"/>
      <c r="Q64" s="485">
        <v>6862500.5</v>
      </c>
      <c r="R64" s="485">
        <v>8937721.1400000006</v>
      </c>
      <c r="S64" s="452">
        <f t="shared" si="54"/>
        <v>2075220.6400000006</v>
      </c>
      <c r="T64" s="223">
        <f t="shared" si="55"/>
        <v>0.30240007122768159</v>
      </c>
      <c r="U64" s="256"/>
      <c r="V64" s="450">
        <f t="shared" si="56"/>
        <v>27450002</v>
      </c>
      <c r="W64" s="451">
        <f t="shared" si="57"/>
        <v>28576004.440000001</v>
      </c>
      <c r="X64" s="452">
        <f t="shared" si="58"/>
        <v>1126002.4400000013</v>
      </c>
      <c r="Y64" s="222">
        <f t="shared" si="59"/>
        <v>4.1020122330045782E-2</v>
      </c>
      <c r="Z64" s="257"/>
      <c r="AA64" s="450">
        <v>27450000</v>
      </c>
      <c r="AB64" s="451">
        <f t="shared" si="60"/>
        <v>-1126004.4400000013</v>
      </c>
      <c r="AC64" s="222">
        <f t="shared" si="61"/>
        <v>-4.1020198178506426E-2</v>
      </c>
      <c r="AD64" s="256"/>
      <c r="AE64" s="861"/>
    </row>
    <row r="65" spans="1:31" x14ac:dyDescent="0.3">
      <c r="A65" s="190" t="s">
        <v>122</v>
      </c>
      <c r="B65" s="463">
        <v>92500</v>
      </c>
      <c r="C65" s="464">
        <v>6451.68</v>
      </c>
      <c r="D65" s="452">
        <f t="shared" si="48"/>
        <v>-86048.320000000007</v>
      </c>
      <c r="E65" s="220">
        <f t="shared" si="49"/>
        <v>-0.93025210810810821</v>
      </c>
      <c r="F65" s="256"/>
      <c r="G65" s="485">
        <v>92500</v>
      </c>
      <c r="H65" s="485">
        <v>6451.68</v>
      </c>
      <c r="I65" s="452">
        <f t="shared" si="50"/>
        <v>-86048.320000000007</v>
      </c>
      <c r="J65" s="221">
        <f t="shared" si="51"/>
        <v>-0.93025210810810821</v>
      </c>
      <c r="K65" s="256"/>
      <c r="L65" s="485">
        <v>92500</v>
      </c>
      <c r="M65" s="485">
        <v>6371.03</v>
      </c>
      <c r="N65" s="452">
        <f t="shared" si="52"/>
        <v>-86128.97</v>
      </c>
      <c r="O65" s="222">
        <f t="shared" si="53"/>
        <v>-0.93112400000000006</v>
      </c>
      <c r="P65" s="256"/>
      <c r="Q65" s="485">
        <v>92500</v>
      </c>
      <c r="R65" s="485">
        <v>9189.8799999999992</v>
      </c>
      <c r="S65" s="452">
        <f t="shared" si="54"/>
        <v>-83310.12</v>
      </c>
      <c r="T65" s="223">
        <f t="shared" si="55"/>
        <v>-0.90064994594594594</v>
      </c>
      <c r="U65" s="256"/>
      <c r="V65" s="450">
        <f t="shared" si="56"/>
        <v>370000</v>
      </c>
      <c r="W65" s="451">
        <f t="shared" si="57"/>
        <v>28464.269999999997</v>
      </c>
      <c r="X65" s="452">
        <f t="shared" si="58"/>
        <v>-341535.73</v>
      </c>
      <c r="Y65" s="222">
        <f t="shared" si="59"/>
        <v>-0.92306954054054047</v>
      </c>
      <c r="Z65" s="257"/>
      <c r="AA65" s="450">
        <v>370000</v>
      </c>
      <c r="AB65" s="451">
        <f t="shared" si="60"/>
        <v>341535.73</v>
      </c>
      <c r="AC65" s="222">
        <f t="shared" si="61"/>
        <v>0.92306954054054047</v>
      </c>
      <c r="AD65" s="256"/>
      <c r="AE65" s="1248" t="s">
        <v>233</v>
      </c>
    </row>
    <row r="66" spans="1:31" x14ac:dyDescent="0.3">
      <c r="A66" s="190" t="s">
        <v>114</v>
      </c>
      <c r="B66" s="463">
        <v>0</v>
      </c>
      <c r="C66" s="464">
        <v>0</v>
      </c>
      <c r="D66" s="452">
        <f t="shared" si="48"/>
        <v>0</v>
      </c>
      <c r="E66" s="220" t="str">
        <f t="shared" si="49"/>
        <v>-</v>
      </c>
      <c r="F66" s="256"/>
      <c r="G66" s="485">
        <v>0</v>
      </c>
      <c r="H66" s="485">
        <v>0</v>
      </c>
      <c r="I66" s="452">
        <f t="shared" si="50"/>
        <v>0</v>
      </c>
      <c r="J66" s="221" t="str">
        <f t="shared" si="51"/>
        <v>-</v>
      </c>
      <c r="K66" s="256"/>
      <c r="L66" s="485">
        <v>0</v>
      </c>
      <c r="M66" s="485">
        <v>0</v>
      </c>
      <c r="N66" s="452">
        <f t="shared" si="52"/>
        <v>0</v>
      </c>
      <c r="O66" s="222" t="str">
        <f t="shared" si="53"/>
        <v>-</v>
      </c>
      <c r="P66" s="256"/>
      <c r="Q66" s="485">
        <v>0</v>
      </c>
      <c r="R66" s="485">
        <v>0</v>
      </c>
      <c r="S66" s="452">
        <f t="shared" si="54"/>
        <v>0</v>
      </c>
      <c r="T66" s="223" t="str">
        <f t="shared" si="55"/>
        <v>-</v>
      </c>
      <c r="U66" s="256"/>
      <c r="V66" s="450">
        <f t="shared" si="56"/>
        <v>0</v>
      </c>
      <c r="W66" s="451">
        <f t="shared" si="57"/>
        <v>0</v>
      </c>
      <c r="X66" s="452">
        <f t="shared" si="58"/>
        <v>0</v>
      </c>
      <c r="Y66" s="222" t="str">
        <f t="shared" si="59"/>
        <v>-</v>
      </c>
      <c r="Z66" s="257"/>
      <c r="AA66" s="450">
        <v>0</v>
      </c>
      <c r="AB66" s="451">
        <f t="shared" si="60"/>
        <v>0</v>
      </c>
      <c r="AC66" s="222" t="str">
        <f t="shared" si="61"/>
        <v>-</v>
      </c>
      <c r="AD66" s="191"/>
      <c r="AE66" s="861"/>
    </row>
    <row r="67" spans="1:31" x14ac:dyDescent="0.3">
      <c r="A67" s="190" t="s">
        <v>115</v>
      </c>
      <c r="B67" s="463">
        <v>0</v>
      </c>
      <c r="C67" s="464">
        <v>0</v>
      </c>
      <c r="D67" s="452">
        <f t="shared" si="48"/>
        <v>0</v>
      </c>
      <c r="E67" s="220" t="str">
        <f t="shared" si="49"/>
        <v>-</v>
      </c>
      <c r="F67" s="191"/>
      <c r="G67" s="485">
        <v>0</v>
      </c>
      <c r="H67" s="485">
        <v>0</v>
      </c>
      <c r="I67" s="452">
        <f t="shared" si="50"/>
        <v>0</v>
      </c>
      <c r="J67" s="221" t="str">
        <f t="shared" si="51"/>
        <v>-</v>
      </c>
      <c r="K67" s="191"/>
      <c r="L67" s="485">
        <v>0</v>
      </c>
      <c r="M67" s="485">
        <v>0</v>
      </c>
      <c r="N67" s="452">
        <f t="shared" si="52"/>
        <v>0</v>
      </c>
      <c r="O67" s="222" t="str">
        <f t="shared" si="53"/>
        <v>-</v>
      </c>
      <c r="P67" s="191"/>
      <c r="Q67" s="485">
        <v>0</v>
      </c>
      <c r="R67" s="485">
        <v>0</v>
      </c>
      <c r="S67" s="452">
        <f t="shared" si="54"/>
        <v>0</v>
      </c>
      <c r="T67" s="223" t="str">
        <f t="shared" si="55"/>
        <v>-</v>
      </c>
      <c r="U67" s="191"/>
      <c r="V67" s="450">
        <f t="shared" si="56"/>
        <v>0</v>
      </c>
      <c r="W67" s="451">
        <f t="shared" si="57"/>
        <v>0</v>
      </c>
      <c r="X67" s="452">
        <f t="shared" si="58"/>
        <v>0</v>
      </c>
      <c r="Y67" s="222" t="str">
        <f t="shared" si="59"/>
        <v>-</v>
      </c>
      <c r="Z67" s="188"/>
      <c r="AA67" s="450">
        <v>0</v>
      </c>
      <c r="AB67" s="451">
        <f t="shared" si="60"/>
        <v>0</v>
      </c>
      <c r="AC67" s="222" t="str">
        <f t="shared" si="61"/>
        <v>-</v>
      </c>
      <c r="AD67" s="256"/>
      <c r="AE67" s="861"/>
    </row>
    <row r="68" spans="1:31" x14ac:dyDescent="0.3">
      <c r="A68" s="190" t="s">
        <v>121</v>
      </c>
      <c r="B68" s="463">
        <v>1115000</v>
      </c>
      <c r="C68" s="464">
        <v>843850.64</v>
      </c>
      <c r="D68" s="452">
        <f t="shared" si="48"/>
        <v>-271149.36</v>
      </c>
      <c r="E68" s="220">
        <f t="shared" si="49"/>
        <v>-0.24318328251121074</v>
      </c>
      <c r="F68" s="256"/>
      <c r="G68" s="485">
        <v>1115000</v>
      </c>
      <c r="H68" s="485">
        <v>1230076.8400000001</v>
      </c>
      <c r="I68" s="452">
        <f t="shared" si="50"/>
        <v>115076.84000000008</v>
      </c>
      <c r="J68" s="221">
        <f t="shared" si="51"/>
        <v>0.10320792825112116</v>
      </c>
      <c r="K68" s="256"/>
      <c r="L68" s="485">
        <v>1115000</v>
      </c>
      <c r="M68" s="485">
        <v>1264245.54</v>
      </c>
      <c r="N68" s="452">
        <f t="shared" si="52"/>
        <v>149245.54000000004</v>
      </c>
      <c r="O68" s="222">
        <f t="shared" si="53"/>
        <v>0.1338525022421525</v>
      </c>
      <c r="P68" s="256"/>
      <c r="Q68" s="485">
        <v>1115000</v>
      </c>
      <c r="R68" s="485">
        <v>1193798.02</v>
      </c>
      <c r="S68" s="452">
        <f t="shared" si="54"/>
        <v>78798.020000000019</v>
      </c>
      <c r="T68" s="223">
        <f t="shared" si="55"/>
        <v>7.0670869955156965E-2</v>
      </c>
      <c r="U68" s="256"/>
      <c r="V68" s="450">
        <f t="shared" si="56"/>
        <v>4460000</v>
      </c>
      <c r="W68" s="451">
        <f t="shared" si="57"/>
        <v>4531971.04</v>
      </c>
      <c r="X68" s="452">
        <f t="shared" si="58"/>
        <v>71971.040000000037</v>
      </c>
      <c r="Y68" s="222">
        <f t="shared" si="59"/>
        <v>1.613700448430494E-2</v>
      </c>
      <c r="Z68" s="257"/>
      <c r="AA68" s="450">
        <v>4460002</v>
      </c>
      <c r="AB68" s="451">
        <f t="shared" si="60"/>
        <v>-71969.040000000037</v>
      </c>
      <c r="AC68" s="222">
        <f t="shared" si="61"/>
        <v>-1.613654881769112E-2</v>
      </c>
      <c r="AD68" s="256"/>
      <c r="AE68" s="859"/>
    </row>
    <row r="69" spans="1:31" x14ac:dyDescent="0.3">
      <c r="A69" s="190" t="s">
        <v>97</v>
      </c>
      <c r="B69" s="463">
        <v>18750.25</v>
      </c>
      <c r="C69" s="464">
        <v>0</v>
      </c>
      <c r="D69" s="452">
        <f t="shared" si="48"/>
        <v>-18750.25</v>
      </c>
      <c r="E69" s="220">
        <f t="shared" si="49"/>
        <v>-1</v>
      </c>
      <c r="F69" s="256"/>
      <c r="G69" s="485">
        <v>18750.25</v>
      </c>
      <c r="H69" s="485">
        <v>46709.06</v>
      </c>
      <c r="I69" s="452">
        <f t="shared" si="50"/>
        <v>27958.809999999998</v>
      </c>
      <c r="J69" s="221">
        <f t="shared" si="51"/>
        <v>1.4911166517779761</v>
      </c>
      <c r="K69" s="256"/>
      <c r="L69" s="485">
        <v>18750.25</v>
      </c>
      <c r="M69" s="485">
        <v>17642.66</v>
      </c>
      <c r="N69" s="452">
        <f t="shared" si="52"/>
        <v>-1107.5900000000001</v>
      </c>
      <c r="O69" s="222">
        <f t="shared" si="53"/>
        <v>-5.9070679057612575E-2</v>
      </c>
      <c r="P69" s="256"/>
      <c r="Q69" s="485">
        <v>18750.25</v>
      </c>
      <c r="R69" s="485">
        <v>0</v>
      </c>
      <c r="S69" s="452">
        <f t="shared" si="54"/>
        <v>-18750.25</v>
      </c>
      <c r="T69" s="223">
        <f t="shared" si="55"/>
        <v>-1</v>
      </c>
      <c r="U69" s="256"/>
      <c r="V69" s="450">
        <f t="shared" si="56"/>
        <v>75001</v>
      </c>
      <c r="W69" s="451">
        <f t="shared" si="57"/>
        <v>64351.72</v>
      </c>
      <c r="X69" s="452">
        <f t="shared" si="58"/>
        <v>-10649.279999999999</v>
      </c>
      <c r="Y69" s="222">
        <f t="shared" si="59"/>
        <v>-0.14198850681990904</v>
      </c>
      <c r="Z69" s="257"/>
      <c r="AA69" s="450">
        <v>120000</v>
      </c>
      <c r="AB69" s="451">
        <f t="shared" si="60"/>
        <v>55648.28</v>
      </c>
      <c r="AC69" s="222">
        <f t="shared" si="61"/>
        <v>0.46373566666666666</v>
      </c>
      <c r="AD69" s="191"/>
      <c r="AE69" s="1247" t="s">
        <v>234</v>
      </c>
    </row>
    <row r="70" spans="1:31" x14ac:dyDescent="0.3">
      <c r="A70" s="190" t="s">
        <v>98</v>
      </c>
      <c r="B70" s="463">
        <v>1250</v>
      </c>
      <c r="C70" s="464">
        <v>0</v>
      </c>
      <c r="D70" s="452">
        <f t="shared" si="48"/>
        <v>-1250</v>
      </c>
      <c r="E70" s="220">
        <f t="shared" si="49"/>
        <v>-1</v>
      </c>
      <c r="F70" s="191"/>
      <c r="G70" s="485">
        <v>1250</v>
      </c>
      <c r="H70" s="706">
        <v>0</v>
      </c>
      <c r="I70" s="452">
        <f t="shared" si="50"/>
        <v>-1250</v>
      </c>
      <c r="J70" s="221">
        <f t="shared" si="51"/>
        <v>-1</v>
      </c>
      <c r="K70" s="191"/>
      <c r="L70" s="485">
        <v>1250</v>
      </c>
      <c r="M70" s="485">
        <v>0</v>
      </c>
      <c r="N70" s="452">
        <f t="shared" si="52"/>
        <v>-1250</v>
      </c>
      <c r="O70" s="222">
        <f t="shared" si="53"/>
        <v>-1</v>
      </c>
      <c r="P70" s="191"/>
      <c r="Q70" s="485">
        <v>1250</v>
      </c>
      <c r="R70" s="485">
        <v>1989.27</v>
      </c>
      <c r="S70" s="452">
        <f t="shared" si="54"/>
        <v>739.27</v>
      </c>
      <c r="T70" s="223">
        <f t="shared" si="55"/>
        <v>0.59141599999999994</v>
      </c>
      <c r="U70" s="191"/>
      <c r="V70" s="450">
        <f t="shared" si="56"/>
        <v>5000</v>
      </c>
      <c r="W70" s="451">
        <f t="shared" si="57"/>
        <v>1989.27</v>
      </c>
      <c r="X70" s="452">
        <f t="shared" si="58"/>
        <v>-3010.73</v>
      </c>
      <c r="Y70" s="222">
        <f t="shared" si="59"/>
        <v>-0.60214599999999996</v>
      </c>
      <c r="Z70" s="188"/>
      <c r="AA70" s="450">
        <v>20000</v>
      </c>
      <c r="AB70" s="451">
        <f t="shared" si="60"/>
        <v>18010.73</v>
      </c>
      <c r="AC70" s="222">
        <f t="shared" si="61"/>
        <v>0.90053649999999996</v>
      </c>
      <c r="AD70" s="256"/>
      <c r="AE70" s="859"/>
    </row>
    <row r="71" spans="1:31" x14ac:dyDescent="0.3">
      <c r="A71" s="190" t="s">
        <v>116</v>
      </c>
      <c r="B71" s="463">
        <v>0</v>
      </c>
      <c r="C71" s="464">
        <v>0</v>
      </c>
      <c r="D71" s="452">
        <f t="shared" si="48"/>
        <v>0</v>
      </c>
      <c r="E71" s="220" t="str">
        <f t="shared" si="49"/>
        <v>-</v>
      </c>
      <c r="F71" s="256"/>
      <c r="G71" s="485">
        <v>0</v>
      </c>
      <c r="H71" s="706">
        <v>0</v>
      </c>
      <c r="I71" s="452">
        <f t="shared" si="50"/>
        <v>0</v>
      </c>
      <c r="J71" s="221" t="str">
        <f t="shared" si="51"/>
        <v>-</v>
      </c>
      <c r="K71" s="256"/>
      <c r="L71" s="485">
        <v>0</v>
      </c>
      <c r="M71" s="485">
        <v>0</v>
      </c>
      <c r="N71" s="452">
        <f t="shared" si="52"/>
        <v>0</v>
      </c>
      <c r="O71" s="222" t="str">
        <f t="shared" si="53"/>
        <v>-</v>
      </c>
      <c r="P71" s="256"/>
      <c r="Q71" s="485">
        <v>0</v>
      </c>
      <c r="R71" s="485">
        <v>0</v>
      </c>
      <c r="S71" s="452">
        <f t="shared" si="54"/>
        <v>0</v>
      </c>
      <c r="T71" s="223" t="str">
        <f t="shared" si="55"/>
        <v>-</v>
      </c>
      <c r="U71" s="256"/>
      <c r="V71" s="450">
        <f t="shared" si="56"/>
        <v>0</v>
      </c>
      <c r="W71" s="451">
        <f t="shared" si="57"/>
        <v>0</v>
      </c>
      <c r="X71" s="452">
        <f t="shared" si="58"/>
        <v>0</v>
      </c>
      <c r="Y71" s="222" t="str">
        <f t="shared" si="59"/>
        <v>-</v>
      </c>
      <c r="Z71" s="257"/>
      <c r="AA71" s="450">
        <v>0</v>
      </c>
      <c r="AB71" s="451">
        <f t="shared" si="60"/>
        <v>0</v>
      </c>
      <c r="AC71" s="222" t="str">
        <f t="shared" si="61"/>
        <v>-</v>
      </c>
      <c r="AD71" s="191"/>
      <c r="AE71" s="859"/>
    </row>
    <row r="72" spans="1:31" x14ac:dyDescent="0.3">
      <c r="A72" s="190" t="s">
        <v>99</v>
      </c>
      <c r="B72" s="463">
        <v>15000</v>
      </c>
      <c r="C72" s="464">
        <v>1745.6</v>
      </c>
      <c r="D72" s="452">
        <f t="shared" si="48"/>
        <v>-13254.4</v>
      </c>
      <c r="E72" s="220">
        <f t="shared" si="49"/>
        <v>-0.88362666666666667</v>
      </c>
      <c r="F72" s="191"/>
      <c r="G72" s="485">
        <v>15000</v>
      </c>
      <c r="H72" s="485">
        <v>0</v>
      </c>
      <c r="I72" s="452">
        <f t="shared" si="50"/>
        <v>-15000</v>
      </c>
      <c r="J72" s="221">
        <f t="shared" si="51"/>
        <v>-1</v>
      </c>
      <c r="K72" s="191"/>
      <c r="L72" s="485">
        <v>15000</v>
      </c>
      <c r="M72" s="485">
        <v>10348.15</v>
      </c>
      <c r="N72" s="452">
        <f t="shared" si="52"/>
        <v>-4651.8500000000004</v>
      </c>
      <c r="O72" s="222">
        <f t="shared" si="53"/>
        <v>-0.31012333333333336</v>
      </c>
      <c r="P72" s="191"/>
      <c r="Q72" s="485">
        <v>15000</v>
      </c>
      <c r="R72" s="485">
        <v>2634.3</v>
      </c>
      <c r="S72" s="452">
        <f t="shared" si="54"/>
        <v>-12365.7</v>
      </c>
      <c r="T72" s="223">
        <f t="shared" si="55"/>
        <v>-0.82438</v>
      </c>
      <c r="U72" s="191"/>
      <c r="V72" s="450">
        <f t="shared" si="56"/>
        <v>60000</v>
      </c>
      <c r="W72" s="451">
        <f t="shared" si="57"/>
        <v>14728.05</v>
      </c>
      <c r="X72" s="452">
        <f t="shared" si="58"/>
        <v>-45271.95</v>
      </c>
      <c r="Y72" s="222">
        <f t="shared" si="59"/>
        <v>-0.75453249999999994</v>
      </c>
      <c r="Z72" s="188"/>
      <c r="AA72" s="450">
        <v>60000</v>
      </c>
      <c r="AB72" s="451">
        <f t="shared" si="60"/>
        <v>45271.95</v>
      </c>
      <c r="AC72" s="222">
        <f t="shared" si="61"/>
        <v>0.75453249999999994</v>
      </c>
      <c r="AD72" s="256"/>
      <c r="AE72" s="1247" t="s">
        <v>235</v>
      </c>
    </row>
    <row r="73" spans="1:31" x14ac:dyDescent="0.3">
      <c r="A73" s="190" t="s">
        <v>100</v>
      </c>
      <c r="B73" s="463">
        <v>20000</v>
      </c>
      <c r="C73" s="464"/>
      <c r="D73" s="452">
        <f t="shared" si="48"/>
        <v>-20000</v>
      </c>
      <c r="E73" s="220">
        <f t="shared" si="49"/>
        <v>-1</v>
      </c>
      <c r="F73" s="256"/>
      <c r="G73" s="485">
        <v>20000</v>
      </c>
      <c r="H73" s="706">
        <v>211.35</v>
      </c>
      <c r="I73" s="452">
        <f t="shared" si="50"/>
        <v>-19788.650000000001</v>
      </c>
      <c r="J73" s="221">
        <f t="shared" si="51"/>
        <v>-0.98943250000000005</v>
      </c>
      <c r="K73" s="256"/>
      <c r="L73" s="485">
        <v>20000</v>
      </c>
      <c r="M73" s="485">
        <v>80.650000000000006</v>
      </c>
      <c r="N73" s="452">
        <f t="shared" si="52"/>
        <v>-19919.349999999999</v>
      </c>
      <c r="O73" s="222"/>
      <c r="P73" s="256"/>
      <c r="Q73" s="485">
        <v>20000</v>
      </c>
      <c r="R73" s="485">
        <v>35107.199999999997</v>
      </c>
      <c r="S73" s="452">
        <f t="shared" si="54"/>
        <v>15107.199999999997</v>
      </c>
      <c r="T73" s="223"/>
      <c r="U73" s="256"/>
      <c r="V73" s="450">
        <f t="shared" si="56"/>
        <v>80000</v>
      </c>
      <c r="W73" s="451">
        <f t="shared" si="57"/>
        <v>35399.199999999997</v>
      </c>
      <c r="X73" s="452">
        <f t="shared" si="58"/>
        <v>-44600.800000000003</v>
      </c>
      <c r="Y73" s="222">
        <f t="shared" si="59"/>
        <v>-0.55751000000000006</v>
      </c>
      <c r="Z73" s="257"/>
      <c r="AA73" s="450">
        <v>80000</v>
      </c>
      <c r="AB73" s="451">
        <f t="shared" si="60"/>
        <v>44600.800000000003</v>
      </c>
      <c r="AC73" s="222">
        <f t="shared" si="61"/>
        <v>0.55751000000000006</v>
      </c>
      <c r="AD73" s="191"/>
      <c r="AE73" s="1248" t="s">
        <v>236</v>
      </c>
    </row>
    <row r="74" spans="1:31" x14ac:dyDescent="0.3">
      <c r="A74" s="275" t="s">
        <v>101</v>
      </c>
      <c r="B74" s="463">
        <v>56250</v>
      </c>
      <c r="C74" s="464">
        <v>54641.760000000002</v>
      </c>
      <c r="D74" s="452">
        <f t="shared" si="48"/>
        <v>-1608.239999999998</v>
      </c>
      <c r="E74" s="220">
        <f t="shared" si="49"/>
        <v>-2.8590933333333297E-2</v>
      </c>
      <c r="F74" s="191"/>
      <c r="G74" s="485">
        <v>56250</v>
      </c>
      <c r="H74" s="485">
        <v>44424.800000000003</v>
      </c>
      <c r="I74" s="452">
        <f t="shared" si="50"/>
        <v>-11825.199999999997</v>
      </c>
      <c r="J74" s="221">
        <f t="shared" si="51"/>
        <v>-0.21022577777777773</v>
      </c>
      <c r="K74" s="191"/>
      <c r="L74" s="485">
        <v>56250</v>
      </c>
      <c r="M74" s="485">
        <v>31428.82</v>
      </c>
      <c r="N74" s="452">
        <f t="shared" si="52"/>
        <v>-24821.18</v>
      </c>
      <c r="O74" s="222">
        <f>IF(ISERROR(N74/L74),"-",N74/L74)</f>
        <v>-0.4412654222222222</v>
      </c>
      <c r="P74" s="191"/>
      <c r="Q74" s="485">
        <v>56250</v>
      </c>
      <c r="R74" s="485">
        <v>51196.75</v>
      </c>
      <c r="S74" s="452">
        <f t="shared" si="54"/>
        <v>-5053.25</v>
      </c>
      <c r="T74" s="223">
        <f>IF(ISERROR(S74/Q74),"-",S74/Q74)</f>
        <v>-8.9835555555555557E-2</v>
      </c>
      <c r="U74" s="191"/>
      <c r="V74" s="450">
        <f t="shared" si="56"/>
        <v>225000</v>
      </c>
      <c r="W74" s="451">
        <f t="shared" si="57"/>
        <v>181692.13</v>
      </c>
      <c r="X74" s="452">
        <f t="shared" si="58"/>
        <v>-43307.869999999995</v>
      </c>
      <c r="Y74" s="222">
        <f t="shared" si="59"/>
        <v>-0.1924794222222222</v>
      </c>
      <c r="Z74" s="188"/>
      <c r="AA74" s="450">
        <v>225000</v>
      </c>
      <c r="AB74" s="451">
        <f t="shared" si="60"/>
        <v>43307.869999999995</v>
      </c>
      <c r="AC74" s="222">
        <f t="shared" si="61"/>
        <v>0.1924794222222222</v>
      </c>
      <c r="AD74" s="191"/>
      <c r="AE74" s="861"/>
    </row>
    <row r="75" spans="1:31" x14ac:dyDescent="0.3">
      <c r="A75" s="276" t="s">
        <v>120</v>
      </c>
      <c r="B75" s="463">
        <v>0</v>
      </c>
      <c r="C75" s="464">
        <v>0</v>
      </c>
      <c r="D75" s="452">
        <f t="shared" si="48"/>
        <v>0</v>
      </c>
      <c r="E75" s="220" t="str">
        <f t="shared" si="49"/>
        <v>-</v>
      </c>
      <c r="F75" s="191"/>
      <c r="G75" s="485">
        <v>0</v>
      </c>
      <c r="H75" s="706">
        <v>0</v>
      </c>
      <c r="I75" s="452">
        <f t="shared" si="50"/>
        <v>0</v>
      </c>
      <c r="J75" s="221" t="str">
        <f t="shared" si="51"/>
        <v>-</v>
      </c>
      <c r="K75" s="191"/>
      <c r="L75" s="485">
        <v>0</v>
      </c>
      <c r="M75" s="485">
        <v>0</v>
      </c>
      <c r="N75" s="452">
        <f t="shared" si="52"/>
        <v>0</v>
      </c>
      <c r="O75" s="222" t="str">
        <f>IF(ISERROR(N75/L75),"-",N75/L75)</f>
        <v>-</v>
      </c>
      <c r="P75" s="191"/>
      <c r="Q75" s="485">
        <v>0</v>
      </c>
      <c r="R75" s="485">
        <v>0</v>
      </c>
      <c r="S75" s="452">
        <f t="shared" si="54"/>
        <v>0</v>
      </c>
      <c r="T75" s="223" t="str">
        <f>IF(ISERROR(S75/Q75),"-",S75/Q75)</f>
        <v>-</v>
      </c>
      <c r="U75" s="191"/>
      <c r="V75" s="450">
        <f t="shared" si="56"/>
        <v>0</v>
      </c>
      <c r="W75" s="451">
        <f t="shared" si="57"/>
        <v>0</v>
      </c>
      <c r="X75" s="452">
        <f t="shared" si="58"/>
        <v>0</v>
      </c>
      <c r="Y75" s="222" t="str">
        <f t="shared" si="59"/>
        <v>-</v>
      </c>
      <c r="Z75" s="188"/>
      <c r="AA75" s="450">
        <v>0</v>
      </c>
      <c r="AB75" s="451">
        <f t="shared" si="60"/>
        <v>0</v>
      </c>
      <c r="AC75" s="222" t="str">
        <f t="shared" si="61"/>
        <v>-</v>
      </c>
      <c r="AD75" s="203"/>
      <c r="AE75" s="858"/>
    </row>
    <row r="76" spans="1:31" x14ac:dyDescent="0.3">
      <c r="A76" s="199" t="s">
        <v>102</v>
      </c>
      <c r="B76" s="469">
        <f>SUM(B43:B75)</f>
        <v>8766651.5</v>
      </c>
      <c r="C76" s="470">
        <f>SUM(C43:C75)</f>
        <v>6982607.959999999</v>
      </c>
      <c r="D76" s="470">
        <f>SUM(D43:D75)</f>
        <v>-1784043.5399999998</v>
      </c>
      <c r="E76" s="237">
        <f t="shared" si="49"/>
        <v>-0.20350341746788952</v>
      </c>
      <c r="F76" s="203"/>
      <c r="G76" s="469">
        <f>SUM(G43:G75)</f>
        <v>8766651.5</v>
      </c>
      <c r="H76" s="470">
        <f>SUM(H43:H75)</f>
        <v>8887847.160000002</v>
      </c>
      <c r="I76" s="470">
        <f>SUM(I43:I75)</f>
        <v>121195.66000000037</v>
      </c>
      <c r="J76" s="237">
        <f>IF(ISERROR(I76/G76),"-",I76/G76)</f>
        <v>1.382462391712507E-2</v>
      </c>
      <c r="K76" s="203"/>
      <c r="L76" s="469">
        <f>SUM(L43:L75)</f>
        <v>8766651.5</v>
      </c>
      <c r="M76" s="470">
        <f>SUM(M43:M75)</f>
        <v>8467872.9800000004</v>
      </c>
      <c r="N76" s="470">
        <f>SUM(N43:N75)</f>
        <v>-298778.51999999979</v>
      </c>
      <c r="O76" s="237">
        <f>IF(ISERROR(N76/L76),"-",N76/L76)</f>
        <v>-3.4081258961873848E-2</v>
      </c>
      <c r="P76" s="203"/>
      <c r="Q76" s="469">
        <f>SUM(Q43:Q75)</f>
        <v>8766651.5</v>
      </c>
      <c r="R76" s="470">
        <f>SUM(R43:R75)</f>
        <v>10846426.15</v>
      </c>
      <c r="S76" s="470">
        <f>SUM(S43:S75)</f>
        <v>2079774.6500000004</v>
      </c>
      <c r="T76" s="237">
        <f>IF(ISERROR(S76/Q76),"-",S76/Q76)</f>
        <v>0.23723706252039337</v>
      </c>
      <c r="U76" s="203"/>
      <c r="V76" s="469">
        <f>SUM(V44:V75)</f>
        <v>35066606</v>
      </c>
      <c r="W76" s="470">
        <f>SUM(W44:W75)</f>
        <v>35184754.250000007</v>
      </c>
      <c r="X76" s="470">
        <f>SUM(X43:X75)</f>
        <v>118148.2500000014</v>
      </c>
      <c r="Y76" s="237">
        <f t="shared" si="59"/>
        <v>3.3692525019387788E-3</v>
      </c>
      <c r="Z76" s="203"/>
      <c r="AA76" s="469">
        <f>SUM(AA44:AA75)</f>
        <v>36170703</v>
      </c>
      <c r="AB76" s="470">
        <f>SUM(AB43:AB75)</f>
        <v>985948.74999999849</v>
      </c>
      <c r="AC76" s="237">
        <f t="shared" ref="AC76" si="62">IF(ISERROR(AB76/AA76),"-",AB76/AA76)</f>
        <v>2.7258213643234927E-2</v>
      </c>
      <c r="AD76" s="175"/>
      <c r="AE76" s="862"/>
    </row>
    <row r="77" spans="1:31" x14ac:dyDescent="0.3">
      <c r="A77" s="277"/>
      <c r="B77" s="486"/>
      <c r="C77" s="487"/>
      <c r="D77" s="487"/>
      <c r="E77" s="280"/>
      <c r="F77" s="175"/>
      <c r="G77" s="488"/>
      <c r="H77" s="489"/>
      <c r="I77" s="489"/>
      <c r="J77" s="283"/>
      <c r="K77" s="175"/>
      <c r="L77" s="486"/>
      <c r="M77" s="487"/>
      <c r="N77" s="487"/>
      <c r="O77" s="284"/>
      <c r="P77" s="175"/>
      <c r="Q77" s="488"/>
      <c r="R77" s="489"/>
      <c r="S77" s="489"/>
      <c r="T77" s="285"/>
      <c r="U77" s="175"/>
      <c r="V77" s="490"/>
      <c r="W77" s="491"/>
      <c r="X77" s="487"/>
      <c r="Y77" s="284"/>
      <c r="Z77" s="175"/>
      <c r="AA77" s="490"/>
      <c r="AB77" s="487"/>
      <c r="AC77" s="284"/>
      <c r="AD77" s="256"/>
      <c r="AE77" s="858"/>
    </row>
    <row r="78" spans="1:31" ht="19.5" thickBot="1" x14ac:dyDescent="0.35">
      <c r="A78" s="199" t="s">
        <v>103</v>
      </c>
      <c r="B78" s="469">
        <f>B41+B76+B77</f>
        <v>10186722</v>
      </c>
      <c r="C78" s="470">
        <f>C41+C76+C77</f>
        <v>8119632.6599999992</v>
      </c>
      <c r="D78" s="470">
        <f>D41+D76+D77</f>
        <v>-2067089.3399999999</v>
      </c>
      <c r="E78" s="237">
        <f>IF(ISERROR(D78/B78),"-",D78/B78)</f>
        <v>-0.20291997170434217</v>
      </c>
      <c r="F78" s="256"/>
      <c r="G78" s="469">
        <f>G41+G76+G77</f>
        <v>10186722</v>
      </c>
      <c r="H78" s="470">
        <f>H41+H76+H77</f>
        <v>10042572.250000002</v>
      </c>
      <c r="I78" s="470">
        <f>I41+I76+I77</f>
        <v>-144149.74999999965</v>
      </c>
      <c r="J78" s="237">
        <f>IF(ISERROR(I78/G78),"-",I78/G78)</f>
        <v>-1.4150749377473897E-2</v>
      </c>
      <c r="K78" s="256"/>
      <c r="L78" s="469">
        <f>L41+L76+L77</f>
        <v>10184421.75</v>
      </c>
      <c r="M78" s="470">
        <f>M41+M76+M77</f>
        <v>9591002.8599999994</v>
      </c>
      <c r="N78" s="470">
        <f>N41+N76+N77</f>
        <v>-593418.88999999978</v>
      </c>
      <c r="O78" s="237">
        <f>IF(ISERROR(N78/L78),"-",N78/L78)</f>
        <v>-5.8267313016568643E-2</v>
      </c>
      <c r="P78" s="256"/>
      <c r="Q78" s="469">
        <f>Q41+Q76+Q77</f>
        <v>10184422</v>
      </c>
      <c r="R78" s="470">
        <f>R41+R76+R77</f>
        <v>11944900.02</v>
      </c>
      <c r="S78" s="470">
        <f>S41+S76+S77</f>
        <v>1760478.0200000005</v>
      </c>
      <c r="T78" s="237">
        <f>IF(ISERROR(S78/Q78),"-",S78/Q78)</f>
        <v>0.17285988542108727</v>
      </c>
      <c r="U78" s="256"/>
      <c r="V78" s="469">
        <f>V41+V76+V77</f>
        <v>40742287.75</v>
      </c>
      <c r="W78" s="470">
        <f>W41+W76+W77</f>
        <v>39698107.790000007</v>
      </c>
      <c r="X78" s="470">
        <f>X41+X76+X77</f>
        <v>-1044179.9599999986</v>
      </c>
      <c r="Y78" s="237">
        <f>IF(ISERROR(X78/V78),"-",X78/V78)</f>
        <v>-2.5628898563753298E-2</v>
      </c>
      <c r="Z78" s="256"/>
      <c r="AA78" s="469">
        <f>AA41+AA76+AA77</f>
        <v>41850985</v>
      </c>
      <c r="AB78" s="470">
        <f>AB41+AB76+AB77</f>
        <v>2152877.2099999986</v>
      </c>
      <c r="AC78" s="237">
        <f>IF(ISERROR(AB78/AA78),"-",AB78/AA78)</f>
        <v>5.1441494387766469E-2</v>
      </c>
      <c r="AD78" s="175"/>
      <c r="AE78" s="862"/>
    </row>
    <row r="79" spans="1:31" ht="33" customHeight="1" thickBot="1" x14ac:dyDescent="0.35">
      <c r="A79" s="288" t="s">
        <v>170</v>
      </c>
      <c r="B79" s="486">
        <f>B25-B78</f>
        <v>1834319.25</v>
      </c>
      <c r="C79" s="486">
        <f t="shared" ref="C79:D79" si="63">C25-C78</f>
        <v>4838898.5000000009</v>
      </c>
      <c r="D79" s="486">
        <f t="shared" si="63"/>
        <v>3004579.2499999995</v>
      </c>
      <c r="E79" s="289"/>
      <c r="F79" s="290" t="e">
        <f>#REF!-F78</f>
        <v>#REF!</v>
      </c>
      <c r="G79" s="486">
        <f>G25-G78</f>
        <v>1834319.25</v>
      </c>
      <c r="H79" s="486">
        <f t="shared" ref="H79:I79" si="64">H25-H78</f>
        <v>4464540.3099999987</v>
      </c>
      <c r="I79" s="486">
        <f t="shared" si="64"/>
        <v>2630221.06</v>
      </c>
      <c r="J79" s="289"/>
      <c r="K79" s="290" t="e">
        <f>#REF!-K78</f>
        <v>#REF!</v>
      </c>
      <c r="L79" s="486">
        <f>L25-L78</f>
        <v>1836619.5</v>
      </c>
      <c r="M79" s="486">
        <f t="shared" ref="M79:N79" si="65">M25-M78</f>
        <v>112552.13000000082</v>
      </c>
      <c r="N79" s="486">
        <f t="shared" si="65"/>
        <v>-1724067.3699999996</v>
      </c>
      <c r="O79" s="290"/>
      <c r="P79" s="290" t="e">
        <f>#REF!-P78</f>
        <v>#REF!</v>
      </c>
      <c r="Q79" s="486">
        <f>Q25-Q78</f>
        <v>1836619.25</v>
      </c>
      <c r="R79" s="486">
        <f t="shared" ref="R79:S79" si="66">R25-R78</f>
        <v>7182808.2800000012</v>
      </c>
      <c r="S79" s="486">
        <f t="shared" si="66"/>
        <v>5346189.0299999993</v>
      </c>
      <c r="T79" s="290"/>
      <c r="U79" s="290" t="e">
        <f>#REF!-U78</f>
        <v>#REF!</v>
      </c>
      <c r="V79" s="486">
        <f>V25-V78</f>
        <v>7341877.25</v>
      </c>
      <c r="W79" s="486">
        <f t="shared" ref="W79" si="67">W25-W78</f>
        <v>16598799.219999984</v>
      </c>
      <c r="X79" s="486">
        <f>X25-X78</f>
        <v>9256921.9699999969</v>
      </c>
      <c r="Y79" s="290"/>
      <c r="Z79" s="864" t="e">
        <f>#REF!-Z78</f>
        <v>#REF!</v>
      </c>
      <c r="AA79" s="486">
        <f>AA25-AA78</f>
        <v>6233179.6499999985</v>
      </c>
      <c r="AB79" s="486">
        <f>AB25-AB78</f>
        <v>-10365619.569999995</v>
      </c>
      <c r="AC79" s="856"/>
      <c r="AD79" s="175"/>
      <c r="AE79" s="858"/>
    </row>
    <row r="80" spans="1:31" ht="19.5" thickBot="1" x14ac:dyDescent="0.35">
      <c r="A80" s="291" t="s">
        <v>171</v>
      </c>
      <c r="B80" s="486"/>
      <c r="C80" s="487"/>
      <c r="D80" s="487">
        <f>C80-B80</f>
        <v>0</v>
      </c>
      <c r="E80" s="280"/>
      <c r="F80" s="175"/>
      <c r="G80" s="488"/>
      <c r="H80" s="489"/>
      <c r="I80" s="487">
        <f>H80-G80</f>
        <v>0</v>
      </c>
      <c r="J80" s="283"/>
      <c r="K80" s="175"/>
      <c r="L80" s="486"/>
      <c r="M80" s="487"/>
      <c r="N80" s="487">
        <f>M80-L80</f>
        <v>0</v>
      </c>
      <c r="O80" s="284"/>
      <c r="P80" s="175"/>
      <c r="Q80" s="488"/>
      <c r="R80" s="489"/>
      <c r="S80" s="487">
        <f>R80-Q80</f>
        <v>0</v>
      </c>
      <c r="T80" s="292"/>
      <c r="U80" s="175"/>
      <c r="V80" s="490"/>
      <c r="W80" s="491"/>
      <c r="X80" s="487"/>
      <c r="Y80" s="284"/>
      <c r="Z80" s="175"/>
      <c r="AA80" s="490"/>
      <c r="AB80" s="487"/>
      <c r="AC80" s="284"/>
      <c r="AD80" s="175"/>
      <c r="AE80" s="862"/>
    </row>
    <row r="81" spans="1:31" ht="25.5" customHeight="1" thickBot="1" x14ac:dyDescent="0.35">
      <c r="A81" s="293" t="s">
        <v>172</v>
      </c>
      <c r="B81" s="486">
        <f>B79-B80</f>
        <v>1834319.25</v>
      </c>
      <c r="C81" s="486">
        <f t="shared" ref="C81:AA81" si="68">C79-C80</f>
        <v>4838898.5000000009</v>
      </c>
      <c r="D81" s="486">
        <f t="shared" si="68"/>
        <v>3004579.2499999995</v>
      </c>
      <c r="E81" s="289">
        <f>E79-E80</f>
        <v>0</v>
      </c>
      <c r="F81" s="290" t="e">
        <f t="shared" si="68"/>
        <v>#REF!</v>
      </c>
      <c r="G81" s="486">
        <f t="shared" si="68"/>
        <v>1834319.25</v>
      </c>
      <c r="H81" s="486">
        <f>H79-H80</f>
        <v>4464540.3099999987</v>
      </c>
      <c r="I81" s="486">
        <f>I79-I80</f>
        <v>2630221.06</v>
      </c>
      <c r="J81" s="289">
        <f>J79-J80</f>
        <v>0</v>
      </c>
      <c r="K81" s="290" t="e">
        <f t="shared" si="68"/>
        <v>#REF!</v>
      </c>
      <c r="L81" s="486">
        <f>L79-L80</f>
        <v>1836619.5</v>
      </c>
      <c r="M81" s="486">
        <f>M79-M80</f>
        <v>112552.13000000082</v>
      </c>
      <c r="N81" s="486">
        <f>N79-N80</f>
        <v>-1724067.3699999996</v>
      </c>
      <c r="O81" s="290">
        <f t="shared" si="68"/>
        <v>0</v>
      </c>
      <c r="P81" s="290" t="e">
        <f t="shared" si="68"/>
        <v>#REF!</v>
      </c>
      <c r="Q81" s="486">
        <f t="shared" si="68"/>
        <v>1836619.25</v>
      </c>
      <c r="R81" s="486">
        <f t="shared" si="68"/>
        <v>7182808.2800000012</v>
      </c>
      <c r="S81" s="486">
        <f t="shared" si="68"/>
        <v>5346189.0299999993</v>
      </c>
      <c r="T81" s="290">
        <f t="shared" si="68"/>
        <v>0</v>
      </c>
      <c r="U81" s="290" t="e">
        <f t="shared" si="68"/>
        <v>#REF!</v>
      </c>
      <c r="V81" s="486">
        <f>V79-V80</f>
        <v>7341877.25</v>
      </c>
      <c r="W81" s="486">
        <f t="shared" si="68"/>
        <v>16598799.219999984</v>
      </c>
      <c r="X81" s="486">
        <f t="shared" si="68"/>
        <v>9256921.9699999969</v>
      </c>
      <c r="Y81" s="290">
        <f t="shared" si="68"/>
        <v>0</v>
      </c>
      <c r="Z81" s="864" t="e">
        <f t="shared" si="68"/>
        <v>#REF!</v>
      </c>
      <c r="AA81" s="486">
        <f t="shared" si="68"/>
        <v>6233179.6499999985</v>
      </c>
      <c r="AB81" s="486">
        <f>AB79-AB80</f>
        <v>-10365619.569999995</v>
      </c>
      <c r="AC81" s="856">
        <f>AC79-AC80</f>
        <v>0</v>
      </c>
      <c r="AD81" s="256"/>
      <c r="AE81" s="858"/>
    </row>
    <row r="82" spans="1:31" ht="29.25" customHeight="1" thickBot="1" x14ac:dyDescent="0.35">
      <c r="A82" s="172" t="s">
        <v>104</v>
      </c>
      <c r="B82" s="450"/>
      <c r="C82" s="451"/>
      <c r="D82" s="451">
        <f>B82-C82</f>
        <v>0</v>
      </c>
      <c r="E82" s="220" t="str">
        <f>IF(ISERROR(D82/B82),"-",D82/B82)</f>
        <v>-</v>
      </c>
      <c r="F82" s="256"/>
      <c r="G82" s="463"/>
      <c r="H82" s="464"/>
      <c r="I82" s="464">
        <f>G82-H82</f>
        <v>0</v>
      </c>
      <c r="J82" s="221" t="str">
        <f>IF(ISERROR(I82/G82),"-",I82/G82)</f>
        <v>-</v>
      </c>
      <c r="K82" s="256"/>
      <c r="L82" s="450"/>
      <c r="M82" s="451"/>
      <c r="N82" s="451">
        <f>L82-M82</f>
        <v>0</v>
      </c>
      <c r="O82" s="294" t="str">
        <f>IF(ISERROR(N82/L82),"-",N82/L82)</f>
        <v>-</v>
      </c>
      <c r="P82" s="256"/>
      <c r="Q82" s="463"/>
      <c r="R82" s="464"/>
      <c r="S82" s="464">
        <f>Q82-R82</f>
        <v>0</v>
      </c>
      <c r="T82" s="295" t="str">
        <f>IF(ISERROR(S82/Q82),"-",S82/Q82)</f>
        <v>-</v>
      </c>
      <c r="U82" s="256"/>
      <c r="V82" s="450">
        <f>B82+G82+L82+Q82</f>
        <v>0</v>
      </c>
      <c r="W82" s="451">
        <f>C82+H82+M82+R82</f>
        <v>0</v>
      </c>
      <c r="X82" s="451">
        <f>V82-W82</f>
        <v>0</v>
      </c>
      <c r="Y82" s="294" t="str">
        <f>IF(ISERROR(X82/V82),"-",X82/V82)</f>
        <v>-</v>
      </c>
      <c r="Z82" s="256"/>
      <c r="AA82" s="450">
        <f>G82+L82+Q82+V82</f>
        <v>0</v>
      </c>
      <c r="AB82" s="451">
        <f>AA82-W82</f>
        <v>0</v>
      </c>
      <c r="AC82" s="294" t="str">
        <f>IF(ISERROR(AB82/AA82),"-",AB82/AA82)</f>
        <v>-</v>
      </c>
      <c r="AE82" s="863"/>
    </row>
    <row r="83" spans="1:31" ht="19.5" thickBot="1" x14ac:dyDescent="0.35">
      <c r="A83" s="296" t="s">
        <v>105</v>
      </c>
      <c r="B83" s="492">
        <f>B81-B82</f>
        <v>1834319.25</v>
      </c>
      <c r="C83" s="492">
        <f>C81-C82</f>
        <v>4838898.5000000009</v>
      </c>
      <c r="D83" s="493">
        <f>C83-B83</f>
        <v>3004579.2500000009</v>
      </c>
      <c r="E83" s="299">
        <f>IF(ISERROR(D83/B83),"-",D83/B83)</f>
        <v>1.6379805478244864</v>
      </c>
      <c r="F83" s="300"/>
      <c r="G83" s="492">
        <f>G81-G82</f>
        <v>1834319.25</v>
      </c>
      <c r="H83" s="492">
        <f>H81-H82</f>
        <v>4464540.3099999987</v>
      </c>
      <c r="I83" s="493">
        <f>H83-G83</f>
        <v>2630221.0599999987</v>
      </c>
      <c r="J83" s="299">
        <f>IF(ISERROR(I83/G83),"-",I83/G83)</f>
        <v>1.4338949231438305</v>
      </c>
      <c r="K83" s="300"/>
      <c r="L83" s="492">
        <f>L81-L82</f>
        <v>1836619.5</v>
      </c>
      <c r="M83" s="492">
        <f>M81-M82</f>
        <v>112552.13000000082</v>
      </c>
      <c r="N83" s="493">
        <f>M83-L83</f>
        <v>-1724067.3699999992</v>
      </c>
      <c r="O83" s="299">
        <f>IF(ISERROR(N83/L83),"-",N83/L83)</f>
        <v>-0.93871777469421358</v>
      </c>
      <c r="P83" s="300"/>
      <c r="Q83" s="492">
        <f>Q81-Q82</f>
        <v>1836619.25</v>
      </c>
      <c r="R83" s="492">
        <f>R81-R82</f>
        <v>7182808.2800000012</v>
      </c>
      <c r="S83" s="493">
        <f>R83-Q83</f>
        <v>5346189.0300000012</v>
      </c>
      <c r="T83" s="299">
        <f>IF(ISERROR(S83/Q83),"-",S83/Q83)</f>
        <v>2.9108858735962837</v>
      </c>
      <c r="U83" s="300"/>
      <c r="V83" s="494">
        <f>V81-V82</f>
        <v>7341877.25</v>
      </c>
      <c r="W83" s="494">
        <f>W81-W82</f>
        <v>16598799.219999984</v>
      </c>
      <c r="X83" s="493">
        <f>W83-V83</f>
        <v>9256921.9699999839</v>
      </c>
      <c r="Y83" s="303">
        <f>IF(ISERROR(X83/V83),"-",X83/V83)</f>
        <v>1.2608385641424316</v>
      </c>
      <c r="Z83" s="300"/>
      <c r="AA83" s="494">
        <f>AA81-AA82</f>
        <v>6233179.6499999985</v>
      </c>
      <c r="AB83" s="494">
        <f>AB81-AB82</f>
        <v>-10365619.569999995</v>
      </c>
      <c r="AC83" s="303">
        <f>IF(ISERROR(AB83/AA83),"-",AB83/AA83)</f>
        <v>-1.6629746216283046</v>
      </c>
    </row>
  </sheetData>
  <sheetProtection algorithmName="SHA-512" hashValue="1Gx+bzjmCsj1VAyqYFXbojTbKZHbm+hwfe9EQYdkfBq4b62B6Ikyw1NUOLKUkKQ1BLkA/CrMM6lCFEp3EZygZg==" saltValue="73a4ZkF3h69SuBMSNRYyZg==" spinCount="100000" sheet="1" objects="1" scenarios="1"/>
  <mergeCells count="13">
    <mergeCell ref="AE9:AE11"/>
    <mergeCell ref="D10:E10"/>
    <mergeCell ref="I10:J10"/>
    <mergeCell ref="N10:O10"/>
    <mergeCell ref="S10:T10"/>
    <mergeCell ref="X10:Y10"/>
    <mergeCell ref="AB10:AC10"/>
    <mergeCell ref="B9:E9"/>
    <mergeCell ref="G9:J9"/>
    <mergeCell ref="L9:O9"/>
    <mergeCell ref="Q9:T9"/>
    <mergeCell ref="V9:Y9"/>
    <mergeCell ref="AA9:AC9"/>
  </mergeCells>
  <conditionalFormatting sqref="E56">
    <cfRule type="cellIs" dxfId="2" priority="1" stopIfTrue="1" operator="equal">
      <formula>""""""</formula>
    </cfRule>
  </conditionalFormatting>
  <pageMargins left="0.7" right="0.7" top="0.75" bottom="0.75" header="0.3" footer="0.3"/>
  <pageSetup paperSize="17" scale="17" fitToHeight="0" orientation="landscape" horizontalDpi="300" verticalDpi="300"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59999389629810485"/>
    <pageSetUpPr fitToPage="1"/>
  </sheetPr>
  <dimension ref="A1:G72"/>
  <sheetViews>
    <sheetView zoomScale="80" zoomScaleNormal="80" workbookViewId="0">
      <selection activeCell="E25" sqref="E25"/>
    </sheetView>
  </sheetViews>
  <sheetFormatPr defaultColWidth="8.85546875" defaultRowHeight="15.75" customHeight="1" x14ac:dyDescent="0.3"/>
  <cols>
    <col min="1" max="1" width="61.140625" style="49" customWidth="1"/>
    <col min="2" max="2" width="16.42578125" style="414" customWidth="1"/>
    <col min="3" max="3" width="16.85546875" style="414" customWidth="1"/>
    <col min="4" max="4" width="18.140625" style="414" customWidth="1"/>
    <col min="5" max="5" width="17" style="414" customWidth="1"/>
    <col min="6" max="6" width="17.42578125" style="414" customWidth="1"/>
    <col min="7" max="7" width="14.42578125" style="49" customWidth="1"/>
    <col min="8" max="231" width="8.85546875" style="49" customWidth="1"/>
    <col min="232" max="16384" width="8.85546875" style="49"/>
  </cols>
  <sheetData>
    <row r="1" spans="1:6" ht="18.75" customHeight="1" x14ac:dyDescent="0.3">
      <c r="A1" s="1418" t="s">
        <v>49</v>
      </c>
      <c r="B1" s="1419"/>
      <c r="C1" s="1419"/>
      <c r="D1" s="1419"/>
      <c r="E1" s="1419"/>
      <c r="F1" s="1419"/>
    </row>
    <row r="2" spans="1:6" ht="18.75" customHeight="1" x14ac:dyDescent="0.3">
      <c r="A2" s="50"/>
      <c r="B2" s="357"/>
      <c r="C2" s="357"/>
      <c r="D2" s="357"/>
      <c r="E2" s="357"/>
      <c r="F2" s="357"/>
    </row>
    <row r="3" spans="1:6" s="52" customFormat="1" ht="18.75" customHeight="1" x14ac:dyDescent="0.3">
      <c r="A3" s="1420" t="s">
        <v>188</v>
      </c>
      <c r="B3" s="1421"/>
      <c r="C3" s="1421"/>
      <c r="D3" s="1421"/>
      <c r="E3" s="1421"/>
      <c r="F3" s="1421"/>
    </row>
    <row r="4" spans="1:6" ht="18.75" customHeight="1" x14ac:dyDescent="0.3">
      <c r="A4" s="1422" t="s">
        <v>0</v>
      </c>
      <c r="B4" s="1423"/>
      <c r="C4" s="1423"/>
      <c r="D4" s="1423"/>
      <c r="E4" s="1423"/>
      <c r="F4" s="1423"/>
    </row>
    <row r="5" spans="1:6" ht="18.75" customHeight="1" x14ac:dyDescent="0.3">
      <c r="A5" s="1422" t="s">
        <v>1</v>
      </c>
      <c r="B5" s="1424"/>
      <c r="C5" s="1424"/>
      <c r="D5" s="1424"/>
      <c r="E5" s="1424"/>
      <c r="F5" s="1424"/>
    </row>
    <row r="6" spans="1:6" ht="18.75" customHeight="1" x14ac:dyDescent="0.3">
      <c r="A6" s="1420" t="s">
        <v>194</v>
      </c>
      <c r="B6" s="1425"/>
      <c r="C6" s="1425"/>
      <c r="D6" s="1425"/>
      <c r="E6" s="1425"/>
      <c r="F6" s="1425"/>
    </row>
    <row r="7" spans="1:6" ht="18.75" customHeight="1" x14ac:dyDescent="0.3">
      <c r="A7" s="1416" t="s">
        <v>2</v>
      </c>
      <c r="B7" s="1417"/>
      <c r="C7" s="1417"/>
      <c r="D7" s="1417"/>
      <c r="E7" s="1417"/>
      <c r="F7" s="1417"/>
    </row>
    <row r="8" spans="1:6" ht="16.5" customHeight="1" thickBot="1" x14ac:dyDescent="0.35">
      <c r="A8" s="309"/>
      <c r="B8" s="358"/>
      <c r="C8" s="359"/>
      <c r="D8" s="358"/>
      <c r="E8" s="359"/>
      <c r="F8" s="358"/>
    </row>
    <row r="9" spans="1:6" ht="17.45" customHeight="1" x14ac:dyDescent="0.3">
      <c r="A9" s="312"/>
      <c r="B9" s="576" t="s">
        <v>164</v>
      </c>
      <c r="C9" s="577" t="s">
        <v>165</v>
      </c>
      <c r="D9" s="576" t="s">
        <v>166</v>
      </c>
      <c r="E9" s="1125" t="s">
        <v>167</v>
      </c>
      <c r="F9" s="1126" t="s">
        <v>3</v>
      </c>
    </row>
    <row r="10" spans="1:6" ht="15" customHeight="1" x14ac:dyDescent="0.3">
      <c r="A10" s="314"/>
      <c r="B10" s="59">
        <v>44927</v>
      </c>
      <c r="C10" s="315">
        <v>45016</v>
      </c>
      <c r="D10" s="59">
        <v>45107</v>
      </c>
      <c r="E10" s="1127">
        <v>45199</v>
      </c>
      <c r="F10" s="1128">
        <v>45291</v>
      </c>
    </row>
    <row r="11" spans="1:6" ht="15" customHeight="1" thickBot="1" x14ac:dyDescent="0.35">
      <c r="A11" s="316"/>
      <c r="B11" s="578" t="s">
        <v>107</v>
      </c>
      <c r="C11" s="579" t="s">
        <v>107</v>
      </c>
      <c r="D11" s="578" t="s">
        <v>107</v>
      </c>
      <c r="E11" s="1129" t="s">
        <v>107</v>
      </c>
      <c r="F11" s="1130" t="s">
        <v>107</v>
      </c>
    </row>
    <row r="12" spans="1:6" ht="15" customHeight="1" x14ac:dyDescent="0.3">
      <c r="A12" s="319" t="s">
        <v>4</v>
      </c>
      <c r="B12" s="369"/>
      <c r="C12" s="368"/>
      <c r="D12" s="369"/>
      <c r="E12" s="1131"/>
      <c r="F12" s="1132"/>
    </row>
    <row r="13" spans="1:6" ht="15" customHeight="1" x14ac:dyDescent="0.3">
      <c r="A13" s="322" t="s">
        <v>5</v>
      </c>
      <c r="B13" s="371"/>
      <c r="C13" s="373"/>
      <c r="D13" s="371"/>
      <c r="E13" s="1002"/>
      <c r="F13" s="1000"/>
    </row>
    <row r="14" spans="1:6" ht="15" customHeight="1" x14ac:dyDescent="0.3">
      <c r="A14" s="324" t="s">
        <v>6</v>
      </c>
      <c r="B14" s="954">
        <v>850776.64</v>
      </c>
      <c r="C14" s="1061">
        <v>740855.69</v>
      </c>
      <c r="D14" s="954">
        <v>707954.89</v>
      </c>
      <c r="E14" s="1133">
        <v>0.77</v>
      </c>
      <c r="F14" s="954">
        <v>719199.22</v>
      </c>
    </row>
    <row r="15" spans="1:6" ht="15" customHeight="1" x14ac:dyDescent="0.3">
      <c r="A15" s="325" t="s">
        <v>7</v>
      </c>
      <c r="B15" s="954">
        <v>0</v>
      </c>
      <c r="C15" s="1061">
        <v>0</v>
      </c>
      <c r="D15" s="954">
        <v>0</v>
      </c>
      <c r="E15" s="1133">
        <v>0</v>
      </c>
      <c r="F15" s="954">
        <v>0</v>
      </c>
    </row>
    <row r="16" spans="1:6" ht="15" customHeight="1" x14ac:dyDescent="0.3">
      <c r="A16" s="325" t="s">
        <v>8</v>
      </c>
      <c r="B16" s="954">
        <v>0</v>
      </c>
      <c r="C16" s="1061">
        <v>0</v>
      </c>
      <c r="D16" s="954">
        <v>0</v>
      </c>
      <c r="E16" s="1133">
        <v>0</v>
      </c>
      <c r="F16" s="954">
        <v>0</v>
      </c>
    </row>
    <row r="17" spans="1:6" ht="15" customHeight="1" x14ac:dyDescent="0.3">
      <c r="A17" s="325" t="s">
        <v>9</v>
      </c>
      <c r="B17" s="954">
        <v>0</v>
      </c>
      <c r="C17" s="1061">
        <v>0</v>
      </c>
      <c r="D17" s="954">
        <v>0</v>
      </c>
      <c r="E17" s="1133">
        <v>0</v>
      </c>
      <c r="F17" s="954">
        <v>0</v>
      </c>
    </row>
    <row r="18" spans="1:6" ht="15" customHeight="1" x14ac:dyDescent="0.3">
      <c r="A18" s="325" t="s">
        <v>10</v>
      </c>
      <c r="B18" s="954">
        <v>0</v>
      </c>
      <c r="C18" s="1061">
        <v>0</v>
      </c>
      <c r="D18" s="954">
        <v>0</v>
      </c>
      <c r="E18" s="1133">
        <v>0</v>
      </c>
      <c r="F18" s="954">
        <v>0</v>
      </c>
    </row>
    <row r="19" spans="1:6" ht="15" customHeight="1" x14ac:dyDescent="0.3">
      <c r="A19" s="326" t="s">
        <v>11</v>
      </c>
      <c r="B19" s="1062">
        <v>0</v>
      </c>
      <c r="C19" s="1063">
        <v>0</v>
      </c>
      <c r="D19" s="1062">
        <v>0</v>
      </c>
      <c r="E19" s="1133">
        <v>0</v>
      </c>
      <c r="F19" s="1062">
        <v>0</v>
      </c>
    </row>
    <row r="20" spans="1:6" ht="15" customHeight="1" x14ac:dyDescent="0.3">
      <c r="A20" s="327" t="s">
        <v>12</v>
      </c>
      <c r="B20" s="377">
        <f>SUM(B14:B19)</f>
        <v>850776.64</v>
      </c>
      <c r="C20" s="396">
        <f>SUM(C14:C19)</f>
        <v>740855.69</v>
      </c>
      <c r="D20" s="377">
        <f>SUM(D14:D19)</f>
        <v>707954.89</v>
      </c>
      <c r="E20" s="1136">
        <f>SUM(E14:E19)</f>
        <v>0.77</v>
      </c>
      <c r="F20" s="377">
        <f>SUM(F14:F19)</f>
        <v>719199.22</v>
      </c>
    </row>
    <row r="21" spans="1:6" ht="15" customHeight="1" x14ac:dyDescent="0.3">
      <c r="A21" s="328"/>
      <c r="B21" s="380"/>
      <c r="C21" s="382"/>
      <c r="D21" s="380"/>
      <c r="E21" s="1007"/>
      <c r="F21" s="1006"/>
    </row>
    <row r="22" spans="1:6" ht="15" customHeight="1" x14ac:dyDescent="0.3">
      <c r="A22" s="329" t="s">
        <v>13</v>
      </c>
      <c r="B22" s="371"/>
      <c r="C22" s="373"/>
      <c r="D22" s="371"/>
      <c r="E22" s="1002"/>
      <c r="F22" s="1000"/>
    </row>
    <row r="23" spans="1:6" ht="15" customHeight="1" x14ac:dyDescent="0.3">
      <c r="A23" s="325" t="s">
        <v>14</v>
      </c>
      <c r="B23" s="954">
        <v>0</v>
      </c>
      <c r="C23" s="1061">
        <v>0</v>
      </c>
      <c r="D23" s="954">
        <v>0</v>
      </c>
      <c r="E23" s="1133">
        <v>0</v>
      </c>
      <c r="F23" s="1134">
        <v>0</v>
      </c>
    </row>
    <row r="24" spans="1:6" ht="15" customHeight="1" x14ac:dyDescent="0.3">
      <c r="A24" s="325" t="s">
        <v>15</v>
      </c>
      <c r="B24" s="954">
        <v>0</v>
      </c>
      <c r="C24" s="1061">
        <v>0</v>
      </c>
      <c r="D24" s="954">
        <v>0</v>
      </c>
      <c r="E24" s="1133">
        <v>0</v>
      </c>
      <c r="F24" s="1134">
        <v>0</v>
      </c>
    </row>
    <row r="25" spans="1:6" ht="15" customHeight="1" x14ac:dyDescent="0.3">
      <c r="A25" s="325" t="s">
        <v>16</v>
      </c>
      <c r="B25" s="954">
        <v>0</v>
      </c>
      <c r="C25" s="1061">
        <v>0</v>
      </c>
      <c r="D25" s="954">
        <v>0</v>
      </c>
      <c r="E25" s="1133">
        <v>0</v>
      </c>
      <c r="F25" s="1134">
        <v>0</v>
      </c>
    </row>
    <row r="26" spans="1:6" ht="15" customHeight="1" x14ac:dyDescent="0.3">
      <c r="A26" s="325" t="s">
        <v>17</v>
      </c>
      <c r="B26" s="954">
        <v>0</v>
      </c>
      <c r="C26" s="1061">
        <v>0</v>
      </c>
      <c r="D26" s="954">
        <v>0</v>
      </c>
      <c r="E26" s="1133">
        <v>0</v>
      </c>
      <c r="F26" s="1134">
        <v>0</v>
      </c>
    </row>
    <row r="27" spans="1:6" ht="15" customHeight="1" x14ac:dyDescent="0.3">
      <c r="A27" s="325" t="s">
        <v>119</v>
      </c>
      <c r="B27" s="954">
        <v>0</v>
      </c>
      <c r="C27" s="1061">
        <v>0</v>
      </c>
      <c r="D27" s="954">
        <v>0</v>
      </c>
      <c r="E27" s="1133">
        <v>0</v>
      </c>
      <c r="F27" s="1134">
        <v>0</v>
      </c>
    </row>
    <row r="28" spans="1:6" ht="15" customHeight="1" x14ac:dyDescent="0.3">
      <c r="A28" s="325" t="s">
        <v>118</v>
      </c>
      <c r="B28" s="954">
        <v>0</v>
      </c>
      <c r="C28" s="1061">
        <v>0</v>
      </c>
      <c r="D28" s="954">
        <v>0</v>
      </c>
      <c r="E28" s="1133">
        <v>0</v>
      </c>
      <c r="F28" s="1134">
        <v>0</v>
      </c>
    </row>
    <row r="29" spans="1:6" ht="15" customHeight="1" x14ac:dyDescent="0.3">
      <c r="A29" s="326" t="s">
        <v>18</v>
      </c>
      <c r="B29" s="1062">
        <v>0</v>
      </c>
      <c r="C29" s="1063">
        <v>0</v>
      </c>
      <c r="D29" s="1062">
        <v>0</v>
      </c>
      <c r="E29" s="1137">
        <v>0</v>
      </c>
      <c r="F29" s="1135">
        <v>0</v>
      </c>
    </row>
    <row r="30" spans="1:6" ht="15" customHeight="1" x14ac:dyDescent="0.3">
      <c r="A30" s="327" t="s">
        <v>19</v>
      </c>
      <c r="B30" s="377">
        <f>SUM(B23:B29)</f>
        <v>0</v>
      </c>
      <c r="C30" s="396">
        <f>SUM(C23:C29)</f>
        <v>0</v>
      </c>
      <c r="D30" s="377">
        <f>SUM(D23:D29)</f>
        <v>0</v>
      </c>
      <c r="E30" s="1136">
        <f>SUM(E23:E29)</f>
        <v>0</v>
      </c>
      <c r="F30" s="1005">
        <f>SUM(F23:F29)</f>
        <v>0</v>
      </c>
    </row>
    <row r="31" spans="1:6" ht="15" customHeight="1" x14ac:dyDescent="0.3">
      <c r="A31" s="328"/>
      <c r="B31" s="380"/>
      <c r="C31" s="382"/>
      <c r="D31" s="380"/>
      <c r="E31" s="1007"/>
      <c r="F31" s="1006"/>
    </row>
    <row r="32" spans="1:6" ht="15" customHeight="1" x14ac:dyDescent="0.3">
      <c r="A32" s="329" t="s">
        <v>20</v>
      </c>
      <c r="B32" s="385"/>
      <c r="C32" s="387"/>
      <c r="D32" s="385"/>
      <c r="E32" s="1009"/>
      <c r="F32" s="1008"/>
    </row>
    <row r="33" spans="1:6" ht="15" customHeight="1" x14ac:dyDescent="0.3">
      <c r="A33" s="306" t="s">
        <v>21</v>
      </c>
      <c r="B33" s="385">
        <v>0</v>
      </c>
      <c r="C33" s="387">
        <v>0</v>
      </c>
      <c r="D33" s="385">
        <v>0</v>
      </c>
      <c r="E33" s="1009">
        <v>0</v>
      </c>
      <c r="F33" s="1008">
        <v>0</v>
      </c>
    </row>
    <row r="34" spans="1:6" ht="15" customHeight="1" x14ac:dyDescent="0.3">
      <c r="A34" s="306" t="s">
        <v>22</v>
      </c>
      <c r="B34" s="385">
        <v>0</v>
      </c>
      <c r="C34" s="387">
        <v>0</v>
      </c>
      <c r="D34" s="385">
        <v>0</v>
      </c>
      <c r="E34" s="1009">
        <v>0</v>
      </c>
      <c r="F34" s="1008">
        <v>0</v>
      </c>
    </row>
    <row r="35" spans="1:6" ht="15" customHeight="1" x14ac:dyDescent="0.3">
      <c r="A35" s="306" t="s">
        <v>23</v>
      </c>
      <c r="B35" s="385">
        <v>0</v>
      </c>
      <c r="C35" s="387">
        <v>0</v>
      </c>
      <c r="D35" s="385">
        <v>0</v>
      </c>
      <c r="E35" s="1009">
        <v>0</v>
      </c>
      <c r="F35" s="1008">
        <v>0</v>
      </c>
    </row>
    <row r="36" spans="1:6" ht="15" customHeight="1" x14ac:dyDescent="0.3">
      <c r="A36" s="306" t="s">
        <v>24</v>
      </c>
      <c r="B36" s="385">
        <v>0</v>
      </c>
      <c r="C36" s="387">
        <v>0</v>
      </c>
      <c r="D36" s="385">
        <v>0</v>
      </c>
      <c r="E36" s="1009">
        <v>0</v>
      </c>
      <c r="F36" s="1008">
        <v>0</v>
      </c>
    </row>
    <row r="37" spans="1:6" ht="15" customHeight="1" x14ac:dyDescent="0.3">
      <c r="A37" s="306" t="s">
        <v>25</v>
      </c>
      <c r="B37" s="385">
        <v>0</v>
      </c>
      <c r="C37" s="387">
        <v>0</v>
      </c>
      <c r="D37" s="385">
        <v>0</v>
      </c>
      <c r="E37" s="1009">
        <v>0</v>
      </c>
      <c r="F37" s="1008">
        <v>0</v>
      </c>
    </row>
    <row r="38" spans="1:6" ht="15" customHeight="1" x14ac:dyDescent="0.3">
      <c r="A38" s="307" t="s">
        <v>26</v>
      </c>
      <c r="B38" s="388">
        <v>0</v>
      </c>
      <c r="C38" s="395">
        <v>0</v>
      </c>
      <c r="D38" s="388">
        <v>0</v>
      </c>
      <c r="E38" s="1013">
        <v>0</v>
      </c>
      <c r="F38" s="1011">
        <v>0</v>
      </c>
    </row>
    <row r="39" spans="1:6" ht="15" customHeight="1" x14ac:dyDescent="0.3">
      <c r="A39" s="327" t="s">
        <v>27</v>
      </c>
      <c r="B39" s="377">
        <f>SUM(B32:B38)</f>
        <v>0</v>
      </c>
      <c r="C39" s="396">
        <f>SUM(C32:C38)</f>
        <v>0</v>
      </c>
      <c r="D39" s="377">
        <f>SUM(D32:D38)</f>
        <v>0</v>
      </c>
      <c r="E39" s="1136">
        <f>SUM(E32:E38)</f>
        <v>0</v>
      </c>
      <c r="F39" s="1005">
        <f>SUM(F32:F38)</f>
        <v>0</v>
      </c>
    </row>
    <row r="40" spans="1:6" ht="15" customHeight="1" x14ac:dyDescent="0.3">
      <c r="A40" s="330"/>
      <c r="B40" s="390"/>
      <c r="C40" s="392"/>
      <c r="D40" s="390"/>
      <c r="E40" s="1015"/>
      <c r="F40" s="1014"/>
    </row>
    <row r="41" spans="1:6" ht="15" customHeight="1" x14ac:dyDescent="0.3">
      <c r="A41" s="322" t="s">
        <v>28</v>
      </c>
      <c r="B41" s="954">
        <v>0</v>
      </c>
      <c r="C41" s="1061">
        <v>0</v>
      </c>
      <c r="D41" s="954">
        <v>0</v>
      </c>
      <c r="E41" s="1133">
        <v>0</v>
      </c>
      <c r="F41" s="1134">
        <v>0</v>
      </c>
    </row>
    <row r="42" spans="1:6" ht="15" customHeight="1" x14ac:dyDescent="0.3">
      <c r="A42" s="331"/>
      <c r="B42" s="388"/>
      <c r="C42" s="395"/>
      <c r="D42" s="388"/>
      <c r="E42" s="1013"/>
      <c r="F42" s="1011"/>
    </row>
    <row r="43" spans="1:6" ht="15" customHeight="1" x14ac:dyDescent="0.3">
      <c r="A43" s="327" t="s">
        <v>29</v>
      </c>
      <c r="B43" s="377">
        <f>B20+B30+B39+B41</f>
        <v>850776.64</v>
      </c>
      <c r="C43" s="396">
        <f>C20+C30+C39+C41</f>
        <v>740855.69</v>
      </c>
      <c r="D43" s="377">
        <f>D20+D30+D39+D41</f>
        <v>707954.89</v>
      </c>
      <c r="E43" s="1005">
        <f>E20+E30+E39+E41</f>
        <v>0.77</v>
      </c>
      <c r="F43" s="377">
        <f>F20+F30+F39+F41</f>
        <v>719199.22</v>
      </c>
    </row>
    <row r="44" spans="1:6" ht="15" customHeight="1" x14ac:dyDescent="0.3">
      <c r="A44" s="332"/>
      <c r="B44" s="398"/>
      <c r="C44" s="400"/>
      <c r="D44" s="398"/>
      <c r="E44" s="1017"/>
      <c r="F44" s="1016"/>
    </row>
    <row r="45" spans="1:6" ht="15" customHeight="1" x14ac:dyDescent="0.3">
      <c r="A45" s="322" t="s">
        <v>30</v>
      </c>
      <c r="B45" s="385"/>
      <c r="C45" s="387"/>
      <c r="D45" s="385"/>
      <c r="E45" s="1009"/>
      <c r="F45" s="1008"/>
    </row>
    <row r="46" spans="1:6" ht="15" customHeight="1" x14ac:dyDescent="0.3">
      <c r="A46" s="333"/>
      <c r="B46" s="385"/>
      <c r="C46" s="387"/>
      <c r="D46" s="385"/>
      <c r="E46" s="1009"/>
      <c r="F46" s="1008"/>
    </row>
    <row r="47" spans="1:6" ht="15" customHeight="1" x14ac:dyDescent="0.3">
      <c r="A47" s="322" t="s">
        <v>31</v>
      </c>
      <c r="B47" s="371"/>
      <c r="C47" s="373"/>
      <c r="D47" s="371"/>
      <c r="E47" s="1002"/>
      <c r="F47" s="1000"/>
    </row>
    <row r="48" spans="1:6" ht="15" customHeight="1" x14ac:dyDescent="0.3">
      <c r="A48" s="306" t="s">
        <v>32</v>
      </c>
      <c r="B48" s="385">
        <v>1727081.3</v>
      </c>
      <c r="C48" s="387">
        <v>1728989.23</v>
      </c>
      <c r="D48" s="385">
        <v>1681565.73</v>
      </c>
      <c r="E48" s="1009">
        <v>1.2</v>
      </c>
      <c r="F48" s="385">
        <v>1721611.74</v>
      </c>
    </row>
    <row r="49" spans="1:7" ht="15" customHeight="1" x14ac:dyDescent="0.3">
      <c r="A49" s="334" t="s">
        <v>50</v>
      </c>
      <c r="B49" s="385">
        <v>0</v>
      </c>
      <c r="C49" s="387">
        <v>0</v>
      </c>
      <c r="D49" s="385">
        <v>0</v>
      </c>
      <c r="E49" s="1009">
        <v>0</v>
      </c>
      <c r="F49" s="385">
        <v>0</v>
      </c>
    </row>
    <row r="50" spans="1:7" ht="15" customHeight="1" x14ac:dyDescent="0.3">
      <c r="A50" s="334" t="s">
        <v>168</v>
      </c>
      <c r="B50" s="385">
        <v>0</v>
      </c>
      <c r="C50" s="387">
        <v>0</v>
      </c>
      <c r="D50" s="385">
        <v>0</v>
      </c>
      <c r="E50" s="1009">
        <v>0</v>
      </c>
      <c r="F50" s="385">
        <v>0</v>
      </c>
    </row>
    <row r="51" spans="1:7" ht="15" customHeight="1" x14ac:dyDescent="0.3">
      <c r="A51" s="334" t="s">
        <v>109</v>
      </c>
      <c r="B51" s="385">
        <v>0</v>
      </c>
      <c r="C51" s="387">
        <v>0</v>
      </c>
      <c r="D51" s="385">
        <v>0</v>
      </c>
      <c r="E51" s="1009">
        <v>0</v>
      </c>
      <c r="F51" s="385">
        <v>0</v>
      </c>
    </row>
    <row r="52" spans="1:7" ht="15" customHeight="1" x14ac:dyDescent="0.3">
      <c r="A52" s="334" t="s">
        <v>33</v>
      </c>
      <c r="B52" s="385">
        <v>0</v>
      </c>
      <c r="C52" s="387">
        <v>0</v>
      </c>
      <c r="D52" s="385">
        <v>0</v>
      </c>
      <c r="E52" s="1009">
        <v>0</v>
      </c>
      <c r="F52" s="385">
        <v>0</v>
      </c>
    </row>
    <row r="53" spans="1:7" ht="15" customHeight="1" x14ac:dyDescent="0.3">
      <c r="A53" s="334" t="s">
        <v>34</v>
      </c>
      <c r="B53" s="385">
        <v>0</v>
      </c>
      <c r="C53" s="387">
        <v>0</v>
      </c>
      <c r="D53" s="385">
        <v>0</v>
      </c>
      <c r="E53" s="1009">
        <v>0</v>
      </c>
      <c r="F53" s="385">
        <v>0</v>
      </c>
    </row>
    <row r="54" spans="1:7" ht="15" customHeight="1" x14ac:dyDescent="0.3">
      <c r="A54" s="306" t="s">
        <v>35</v>
      </c>
      <c r="B54" s="385">
        <v>0</v>
      </c>
      <c r="C54" s="387">
        <v>0</v>
      </c>
      <c r="D54" s="385">
        <v>0</v>
      </c>
      <c r="E54" s="1009">
        <v>0</v>
      </c>
      <c r="F54" s="385">
        <v>0</v>
      </c>
      <c r="G54" s="414"/>
    </row>
    <row r="55" spans="1:7" ht="15" customHeight="1" x14ac:dyDescent="0.3">
      <c r="A55" s="306" t="s">
        <v>36</v>
      </c>
      <c r="B55" s="385">
        <v>0</v>
      </c>
      <c r="C55" s="387">
        <v>0</v>
      </c>
      <c r="D55" s="385">
        <v>0</v>
      </c>
      <c r="E55" s="1009">
        <v>0</v>
      </c>
      <c r="F55" s="385">
        <v>0</v>
      </c>
    </row>
    <row r="56" spans="1:7" ht="15" customHeight="1" x14ac:dyDescent="0.3">
      <c r="A56" s="307" t="s">
        <v>37</v>
      </c>
      <c r="B56" s="388">
        <v>0</v>
      </c>
      <c r="C56" s="395">
        <v>0</v>
      </c>
      <c r="D56" s="388">
        <v>0</v>
      </c>
      <c r="E56" s="1013">
        <v>0</v>
      </c>
      <c r="F56" s="388">
        <v>0</v>
      </c>
    </row>
    <row r="57" spans="1:7" ht="15" customHeight="1" x14ac:dyDescent="0.3">
      <c r="A57" s="327" t="s">
        <v>38</v>
      </c>
      <c r="B57" s="377">
        <f>SUM(B48:B56)</f>
        <v>1727081.3</v>
      </c>
      <c r="C57" s="396">
        <f>SUM(C48:C56)</f>
        <v>1728989.23</v>
      </c>
      <c r="D57" s="377">
        <f>SUM(D48:D56)</f>
        <v>1681565.73</v>
      </c>
      <c r="E57" s="1136">
        <f>SUM(E48:E56)</f>
        <v>1.2</v>
      </c>
      <c r="F57" s="377">
        <f>SUM(F48:F56)</f>
        <v>1721611.74</v>
      </c>
    </row>
    <row r="58" spans="1:7" ht="15" customHeight="1" x14ac:dyDescent="0.3">
      <c r="A58" s="335"/>
      <c r="B58" s="380"/>
      <c r="C58" s="382"/>
      <c r="D58" s="380"/>
      <c r="E58" s="1007"/>
      <c r="F58" s="1006"/>
    </row>
    <row r="59" spans="1:7" ht="15" customHeight="1" x14ac:dyDescent="0.3">
      <c r="A59" s="322" t="s">
        <v>39</v>
      </c>
      <c r="B59" s="385"/>
      <c r="C59" s="387"/>
      <c r="D59" s="385"/>
      <c r="E59" s="1009"/>
      <c r="F59" s="1008"/>
    </row>
    <row r="60" spans="1:7" ht="15" customHeight="1" x14ac:dyDescent="0.3">
      <c r="A60" s="306" t="s">
        <v>117</v>
      </c>
      <c r="B60" s="385">
        <v>0</v>
      </c>
      <c r="C60" s="387">
        <v>0</v>
      </c>
      <c r="D60" s="385">
        <v>0</v>
      </c>
      <c r="E60" s="1009">
        <v>0</v>
      </c>
      <c r="F60" s="1008">
        <v>0</v>
      </c>
    </row>
    <row r="61" spans="1:7" ht="15" customHeight="1" x14ac:dyDescent="0.3">
      <c r="A61" s="306" t="s">
        <v>40</v>
      </c>
      <c r="B61" s="385">
        <v>0</v>
      </c>
      <c r="C61" s="387">
        <v>0</v>
      </c>
      <c r="D61" s="385">
        <v>0</v>
      </c>
      <c r="E61" s="1009">
        <v>0</v>
      </c>
      <c r="F61" s="1008">
        <v>0</v>
      </c>
    </row>
    <row r="62" spans="1:7" ht="15" customHeight="1" x14ac:dyDescent="0.3">
      <c r="A62" s="308"/>
      <c r="B62" s="388"/>
      <c r="C62" s="395"/>
      <c r="D62" s="388"/>
      <c r="E62" s="1013"/>
      <c r="F62" s="1011"/>
    </row>
    <row r="63" spans="1:7" ht="15" customHeight="1" x14ac:dyDescent="0.3">
      <c r="A63" s="327" t="s">
        <v>41</v>
      </c>
      <c r="B63" s="377">
        <f>SUM(B60:B62)</f>
        <v>0</v>
      </c>
      <c r="C63" s="396">
        <f>SUM(C60:C62)</f>
        <v>0</v>
      </c>
      <c r="D63" s="377">
        <f>SUM(D60:D62)</f>
        <v>0</v>
      </c>
      <c r="E63" s="1136">
        <f>SUM(E60:E62)</f>
        <v>0</v>
      </c>
      <c r="F63" s="1005">
        <f>SUM(F60:F62)</f>
        <v>0</v>
      </c>
    </row>
    <row r="64" spans="1:7" ht="15" customHeight="1" x14ac:dyDescent="0.3">
      <c r="A64" s="335"/>
      <c r="B64" s="380"/>
      <c r="C64" s="382"/>
      <c r="D64" s="380"/>
      <c r="E64" s="1007"/>
      <c r="F64" s="1006"/>
    </row>
    <row r="65" spans="1:6" ht="15" customHeight="1" x14ac:dyDescent="0.3">
      <c r="A65" s="322" t="s">
        <v>42</v>
      </c>
      <c r="B65" s="385"/>
      <c r="C65" s="387"/>
      <c r="D65" s="385"/>
      <c r="E65" s="1009"/>
      <c r="F65" s="1008"/>
    </row>
    <row r="66" spans="1:6" ht="15" customHeight="1" x14ac:dyDescent="0.3">
      <c r="A66" s="306" t="s">
        <v>43</v>
      </c>
      <c r="B66" s="385">
        <v>0</v>
      </c>
      <c r="C66" s="387">
        <v>0</v>
      </c>
      <c r="D66" s="385">
        <v>0</v>
      </c>
      <c r="E66" s="1009">
        <v>0</v>
      </c>
      <c r="F66" s="1008">
        <v>0</v>
      </c>
    </row>
    <row r="67" spans="1:6" ht="15" customHeight="1" x14ac:dyDescent="0.3">
      <c r="A67" s="306" t="s">
        <v>44</v>
      </c>
      <c r="B67" s="385">
        <v>0</v>
      </c>
      <c r="C67" s="387">
        <v>0</v>
      </c>
      <c r="D67" s="385">
        <v>0</v>
      </c>
      <c r="E67" s="1009">
        <v>0</v>
      </c>
      <c r="F67" s="1008">
        <v>0</v>
      </c>
    </row>
    <row r="68" spans="1:6" ht="15" customHeight="1" x14ac:dyDescent="0.3">
      <c r="A68" s="306" t="s">
        <v>45</v>
      </c>
      <c r="B68" s="385">
        <v>0</v>
      </c>
      <c r="C68" s="387">
        <v>0</v>
      </c>
      <c r="D68" s="385">
        <v>0</v>
      </c>
      <c r="E68" s="1009">
        <v>0</v>
      </c>
      <c r="F68" s="1008">
        <v>0</v>
      </c>
    </row>
    <row r="69" spans="1:6" ht="15" customHeight="1" x14ac:dyDescent="0.3">
      <c r="A69" s="307" t="s">
        <v>46</v>
      </c>
      <c r="B69" s="388">
        <v>0</v>
      </c>
      <c r="C69" s="395">
        <v>0</v>
      </c>
      <c r="D69" s="388">
        <v>0</v>
      </c>
      <c r="E69" s="1013">
        <v>0</v>
      </c>
      <c r="F69" s="1011">
        <v>0</v>
      </c>
    </row>
    <row r="70" spans="1:6" ht="15" customHeight="1" x14ac:dyDescent="0.3">
      <c r="A70" s="327" t="s">
        <v>47</v>
      </c>
      <c r="B70" s="377">
        <f>SUM(B66:B69)</f>
        <v>0</v>
      </c>
      <c r="C70" s="396">
        <f>SUM(C66:C69)</f>
        <v>0</v>
      </c>
      <c r="D70" s="377">
        <f>SUM(D66:D69)</f>
        <v>0</v>
      </c>
      <c r="E70" s="1136">
        <f>SUM(E66:E69)</f>
        <v>0</v>
      </c>
      <c r="F70" s="1005">
        <f>SUM(F66:F69)</f>
        <v>0</v>
      </c>
    </row>
    <row r="71" spans="1:6" ht="15.75" customHeight="1" x14ac:dyDescent="0.3">
      <c r="A71" s="336"/>
      <c r="B71" s="407"/>
      <c r="C71" s="409"/>
      <c r="D71" s="407"/>
      <c r="E71" s="1021"/>
      <c r="F71" s="1020"/>
    </row>
    <row r="72" spans="1:6" ht="16.5" customHeight="1" thickBot="1" x14ac:dyDescent="0.35">
      <c r="A72" s="337" t="s">
        <v>48</v>
      </c>
      <c r="B72" s="411">
        <f>B70+B63+B57</f>
        <v>1727081.3</v>
      </c>
      <c r="C72" s="413">
        <f>C70+C63+C57</f>
        <v>1728989.23</v>
      </c>
      <c r="D72" s="411">
        <f>D70+D63+D57</f>
        <v>1681565.73</v>
      </c>
      <c r="E72" s="1138">
        <f>E70+E63+E57</f>
        <v>1.2</v>
      </c>
      <c r="F72" s="411">
        <f>F70+F63+F57</f>
        <v>1721611.74</v>
      </c>
    </row>
  </sheetData>
  <sheetProtection algorithmName="SHA-512" hashValue="paGaB4Hmr3d0qWZqsr0nyUqL8OJTx2FGNGUNBwdvn2eTDTQduKqGaD5tRVNnPDTHF5T2o5usEQ4uSyfj2GTUPw==" saltValue="aEyDsOMqGmBuD2vAfpP1tQ==" spinCount="100000" sheet="1" objects="1" scenarios="1"/>
  <mergeCells count="6">
    <mergeCell ref="A7:F7"/>
    <mergeCell ref="A1:F1"/>
    <mergeCell ref="A3:F3"/>
    <mergeCell ref="A4:F4"/>
    <mergeCell ref="A5:F5"/>
    <mergeCell ref="A6:F6"/>
  </mergeCells>
  <pageMargins left="0.7" right="0.7" top="0.75" bottom="0.75" header="0.3" footer="0.3"/>
  <pageSetup scale="61" fitToHeight="0" orientation="portrait" horizontalDpi="300" verticalDpi="300"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59999389629810485"/>
    <pageSetUpPr fitToPage="1"/>
  </sheetPr>
  <dimension ref="A1:AG83"/>
  <sheetViews>
    <sheetView tabSelected="1" view="pageBreakPreview" zoomScale="60" zoomScaleNormal="80" workbookViewId="0">
      <pane xSplit="1" ySplit="11" topLeftCell="P49" activePane="bottomRight" state="frozen"/>
      <selection pane="topRight" activeCell="B1" sqref="B1"/>
      <selection pane="bottomLeft" activeCell="A12" sqref="A12"/>
      <selection pane="bottomRight" activeCell="R63" sqref="R63"/>
    </sheetView>
  </sheetViews>
  <sheetFormatPr defaultRowHeight="18.75" x14ac:dyDescent="0.3"/>
  <cols>
    <col min="1" max="1" width="53.42578125" style="49" customWidth="1"/>
    <col min="2" max="3" width="14.140625" style="414" customWidth="1"/>
    <col min="4" max="4" width="13.140625" style="414" customWidth="1"/>
    <col min="5" max="5" width="11" style="304" customWidth="1"/>
    <col min="6" max="6" width="1" style="49" customWidth="1"/>
    <col min="7" max="7" width="14.5703125" style="414" customWidth="1"/>
    <col min="8" max="8" width="14.28515625" style="414" customWidth="1"/>
    <col min="9" max="9" width="12.140625" style="414" customWidth="1"/>
    <col min="10" max="10" width="10.7109375" style="304" customWidth="1"/>
    <col min="11" max="11" width="1.140625" style="49" customWidth="1"/>
    <col min="12" max="12" width="14" style="414" customWidth="1"/>
    <col min="13" max="13" width="14.140625" style="414" customWidth="1"/>
    <col min="14" max="14" width="12.85546875" style="414" customWidth="1"/>
    <col min="15" max="15" width="9" style="305" customWidth="1"/>
    <col min="16" max="16" width="1" style="49" customWidth="1"/>
    <col min="17" max="17" width="13.85546875" style="414" customWidth="1"/>
    <col min="18" max="18" width="13.140625" style="414" customWidth="1"/>
    <col min="19" max="19" width="12.85546875" style="414" customWidth="1"/>
    <col min="20" max="20" width="9.85546875" style="305" customWidth="1"/>
    <col min="21" max="21" width="1.28515625" style="49" customWidth="1"/>
    <col min="22" max="22" width="14.28515625" style="414" customWidth="1"/>
    <col min="23" max="23" width="14.140625" style="414" customWidth="1"/>
    <col min="24" max="24" width="13" style="414" customWidth="1"/>
    <col min="25" max="25" width="15.85546875" style="305" customWidth="1"/>
    <col min="26" max="26" width="1" style="49" customWidth="1"/>
    <col min="27" max="27" width="16.28515625" style="414" customWidth="1"/>
    <col min="28" max="28" width="13.7109375" style="414" customWidth="1"/>
    <col min="29" max="29" width="11.5703125" style="305" customWidth="1"/>
    <col min="30" max="30" width="1" style="49" customWidth="1"/>
    <col min="31" max="31" width="66.42578125" style="49" customWidth="1"/>
    <col min="32" max="16384" width="9.140625" style="49"/>
  </cols>
  <sheetData>
    <row r="1" spans="1:31" x14ac:dyDescent="0.3">
      <c r="A1" s="1431" t="s">
        <v>49</v>
      </c>
      <c r="B1" s="1432"/>
      <c r="C1" s="1432"/>
      <c r="D1" s="1432"/>
      <c r="E1" s="1432"/>
      <c r="F1" s="1432"/>
      <c r="G1" s="1432"/>
      <c r="H1" s="1432"/>
      <c r="I1" s="415"/>
      <c r="J1" s="88"/>
      <c r="K1" s="89"/>
      <c r="L1" s="416"/>
      <c r="M1" s="416"/>
      <c r="N1" s="416"/>
      <c r="O1" s="91"/>
      <c r="P1" s="120"/>
      <c r="Q1" s="415"/>
      <c r="R1" s="417"/>
      <c r="S1" s="429"/>
      <c r="T1" s="93"/>
      <c r="U1" s="120"/>
      <c r="V1" s="430"/>
      <c r="W1" s="430"/>
      <c r="X1" s="430"/>
      <c r="Y1" s="123"/>
      <c r="Z1" s="120"/>
      <c r="AA1" s="430"/>
      <c r="AB1" s="430"/>
      <c r="AC1" s="123"/>
      <c r="AD1" s="120"/>
      <c r="AE1" s="124"/>
    </row>
    <row r="2" spans="1:31" x14ac:dyDescent="0.3">
      <c r="A2" s="125"/>
      <c r="B2" s="418"/>
      <c r="C2" s="418"/>
      <c r="D2" s="418"/>
      <c r="E2" s="95"/>
      <c r="F2" s="96"/>
      <c r="G2" s="418"/>
      <c r="H2" s="418"/>
      <c r="I2" s="418"/>
      <c r="J2" s="95"/>
      <c r="K2" s="97"/>
      <c r="L2" s="357"/>
      <c r="M2" s="357"/>
      <c r="N2" s="357"/>
      <c r="O2" s="98"/>
      <c r="P2" s="97"/>
      <c r="Q2" s="418"/>
      <c r="R2" s="419"/>
      <c r="S2" s="431"/>
      <c r="T2" s="100"/>
      <c r="U2" s="97"/>
      <c r="V2" s="432"/>
      <c r="W2" s="432"/>
      <c r="X2" s="432"/>
      <c r="Y2" s="128"/>
      <c r="Z2" s="97"/>
      <c r="AA2" s="432"/>
      <c r="AB2" s="432"/>
      <c r="AC2" s="128"/>
      <c r="AD2" s="97"/>
      <c r="AE2" s="129"/>
    </row>
    <row r="3" spans="1:31" s="52" customFormat="1" x14ac:dyDescent="0.3">
      <c r="A3" s="1433" t="s">
        <v>188</v>
      </c>
      <c r="B3" s="1434"/>
      <c r="C3" s="1434"/>
      <c r="D3" s="1434"/>
      <c r="E3" s="1434"/>
      <c r="F3" s="1434"/>
      <c r="G3" s="1434"/>
      <c r="H3" s="1434"/>
      <c r="I3" s="420"/>
      <c r="J3" s="102"/>
      <c r="K3" s="103"/>
      <c r="L3" s="421"/>
      <c r="M3" s="421"/>
      <c r="N3" s="421"/>
      <c r="O3" s="105"/>
      <c r="P3" s="130"/>
      <c r="Q3" s="420"/>
      <c r="R3" s="422"/>
      <c r="S3" s="428"/>
      <c r="T3" s="107"/>
      <c r="U3" s="130"/>
      <c r="V3" s="433"/>
      <c r="W3" s="433"/>
      <c r="X3" s="433"/>
      <c r="Y3" s="132"/>
      <c r="Z3" s="130"/>
      <c r="AA3" s="433"/>
      <c r="AB3" s="433"/>
      <c r="AC3" s="132"/>
      <c r="AD3" s="130"/>
      <c r="AE3" s="133"/>
    </row>
    <row r="4" spans="1:31" x14ac:dyDescent="0.3">
      <c r="A4" s="1435" t="s">
        <v>51</v>
      </c>
      <c r="B4" s="1436"/>
      <c r="C4" s="1436"/>
      <c r="D4" s="1436"/>
      <c r="E4" s="1436"/>
      <c r="F4" s="1436"/>
      <c r="G4" s="1436"/>
      <c r="H4" s="1436"/>
      <c r="I4" s="418"/>
      <c r="J4" s="95"/>
      <c r="K4" s="108"/>
      <c r="L4" s="423"/>
      <c r="M4" s="423"/>
      <c r="N4" s="423"/>
      <c r="O4" s="110"/>
      <c r="P4" s="134"/>
      <c r="Q4" s="424"/>
      <c r="R4" s="425"/>
      <c r="S4" s="431"/>
      <c r="T4" s="113"/>
      <c r="U4" s="134"/>
      <c r="V4" s="432"/>
      <c r="W4" s="432"/>
      <c r="X4" s="432"/>
      <c r="Y4" s="128"/>
      <c r="Z4" s="134"/>
      <c r="AA4" s="432"/>
      <c r="AB4" s="432"/>
      <c r="AC4" s="128"/>
      <c r="AD4" s="134"/>
      <c r="AE4" s="129"/>
    </row>
    <row r="5" spans="1:31" x14ac:dyDescent="0.3">
      <c r="A5" s="1435" t="s">
        <v>52</v>
      </c>
      <c r="B5" s="1437"/>
      <c r="C5" s="1437"/>
      <c r="D5" s="1437"/>
      <c r="E5" s="1437"/>
      <c r="F5" s="1437"/>
      <c r="G5" s="1437"/>
      <c r="H5" s="1437"/>
      <c r="I5" s="418"/>
      <c r="J5" s="95"/>
      <c r="K5" s="108"/>
      <c r="L5" s="423"/>
      <c r="M5" s="423"/>
      <c r="N5" s="423"/>
      <c r="O5" s="110"/>
      <c r="P5" s="134"/>
      <c r="Q5" s="424"/>
      <c r="R5" s="425"/>
      <c r="S5" s="431"/>
      <c r="T5" s="113"/>
      <c r="U5" s="134"/>
      <c r="V5" s="432"/>
      <c r="W5" s="432"/>
      <c r="X5" s="432"/>
      <c r="Y5" s="128"/>
      <c r="Z5" s="134"/>
      <c r="AA5" s="432"/>
      <c r="AB5" s="432"/>
      <c r="AC5" s="128"/>
      <c r="AD5" s="134"/>
      <c r="AE5" s="129"/>
    </row>
    <row r="6" spans="1:31" s="52" customFormat="1" x14ac:dyDescent="0.3">
      <c r="A6" s="1433" t="s">
        <v>194</v>
      </c>
      <c r="B6" s="1468"/>
      <c r="C6" s="1468"/>
      <c r="D6" s="1468"/>
      <c r="E6" s="1468"/>
      <c r="F6" s="1468"/>
      <c r="G6" s="1468"/>
      <c r="H6" s="1468"/>
      <c r="I6" s="420"/>
      <c r="J6" s="102"/>
      <c r="K6" s="114"/>
      <c r="L6" s="426"/>
      <c r="M6" s="426"/>
      <c r="N6" s="426"/>
      <c r="O6" s="116"/>
      <c r="P6" s="130"/>
      <c r="Q6" s="427"/>
      <c r="R6" s="428"/>
      <c r="S6" s="428"/>
      <c r="T6" s="119"/>
      <c r="U6" s="130"/>
      <c r="V6" s="433"/>
      <c r="W6" s="433"/>
      <c r="X6" s="433"/>
      <c r="Y6" s="132"/>
      <c r="Z6" s="130"/>
      <c r="AA6" s="421"/>
      <c r="AB6" s="421"/>
      <c r="AC6" s="132"/>
      <c r="AD6" s="130"/>
      <c r="AE6" s="133"/>
    </row>
    <row r="7" spans="1:31" s="52" customFormat="1" x14ac:dyDescent="0.3">
      <c r="A7" s="1429" t="s">
        <v>2</v>
      </c>
      <c r="B7" s="1430"/>
      <c r="C7" s="1430"/>
      <c r="D7" s="1430"/>
      <c r="E7" s="1430"/>
      <c r="F7" s="1430"/>
      <c r="G7" s="1430"/>
      <c r="H7" s="1430"/>
      <c r="I7" s="420"/>
      <c r="J7" s="102"/>
      <c r="K7" s="114"/>
      <c r="L7" s="426"/>
      <c r="M7" s="426"/>
      <c r="N7" s="426"/>
      <c r="O7" s="116"/>
      <c r="P7" s="130"/>
      <c r="Q7" s="427"/>
      <c r="R7" s="428"/>
      <c r="S7" s="428"/>
      <c r="T7" s="119"/>
      <c r="U7" s="130"/>
      <c r="V7" s="433"/>
      <c r="W7" s="433"/>
      <c r="X7" s="433"/>
      <c r="Y7" s="132"/>
      <c r="Z7" s="130"/>
      <c r="AA7" s="433"/>
      <c r="AB7" s="433"/>
      <c r="AC7" s="132"/>
      <c r="AD7" s="130"/>
      <c r="AE7" s="133"/>
    </row>
    <row r="8" spans="1:31" ht="19.5" thickBot="1" x14ac:dyDescent="0.35">
      <c r="A8" s="135" t="s">
        <v>173</v>
      </c>
      <c r="B8" s="434"/>
      <c r="C8" s="432"/>
      <c r="D8" s="432"/>
      <c r="E8" s="137"/>
      <c r="F8" s="138"/>
      <c r="G8" s="432"/>
      <c r="H8" s="432"/>
      <c r="I8" s="432"/>
      <c r="J8" s="137"/>
      <c r="K8" s="138"/>
      <c r="L8" s="432"/>
      <c r="M8" s="432"/>
      <c r="N8" s="432"/>
      <c r="O8" s="128"/>
      <c r="P8" s="138"/>
      <c r="Q8" s="432"/>
      <c r="R8" s="432"/>
      <c r="S8" s="432"/>
      <c r="T8" s="128"/>
      <c r="U8" s="138"/>
      <c r="V8" s="432"/>
      <c r="W8" s="432"/>
      <c r="X8" s="432"/>
      <c r="Y8" s="128"/>
      <c r="Z8" s="138"/>
      <c r="AA8" s="432"/>
      <c r="AB8" s="432"/>
      <c r="AC8" s="128"/>
      <c r="AD8" s="138"/>
      <c r="AE8" s="139"/>
    </row>
    <row r="9" spans="1:31" x14ac:dyDescent="0.3">
      <c r="A9" s="140"/>
      <c r="B9" s="1446" t="s">
        <v>53</v>
      </c>
      <c r="C9" s="1447"/>
      <c r="D9" s="1448"/>
      <c r="E9" s="1449"/>
      <c r="F9" s="141"/>
      <c r="G9" s="1446" t="s">
        <v>54</v>
      </c>
      <c r="H9" s="1447"/>
      <c r="I9" s="1447"/>
      <c r="J9" s="1450"/>
      <c r="K9" s="141"/>
      <c r="L9" s="1451" t="s">
        <v>55</v>
      </c>
      <c r="M9" s="1452"/>
      <c r="N9" s="1452"/>
      <c r="O9" s="1453"/>
      <c r="P9" s="141"/>
      <c r="Q9" s="1454" t="s">
        <v>56</v>
      </c>
      <c r="R9" s="1448"/>
      <c r="S9" s="1448"/>
      <c r="T9" s="1449"/>
      <c r="U9" s="141"/>
      <c r="V9" s="1455" t="s">
        <v>57</v>
      </c>
      <c r="W9" s="1456"/>
      <c r="X9" s="1456"/>
      <c r="Y9" s="1457"/>
      <c r="Z9" s="141"/>
      <c r="AA9" s="1455" t="s">
        <v>196</v>
      </c>
      <c r="AB9" s="1456"/>
      <c r="AC9" s="1457"/>
      <c r="AD9" s="142"/>
      <c r="AE9" s="1439" t="s">
        <v>58</v>
      </c>
    </row>
    <row r="10" spans="1:31" ht="37.5" x14ac:dyDescent="0.3">
      <c r="A10" s="143" t="s">
        <v>59</v>
      </c>
      <c r="B10" s="435" t="s">
        <v>60</v>
      </c>
      <c r="C10" s="435" t="s">
        <v>61</v>
      </c>
      <c r="D10" s="1441" t="s">
        <v>62</v>
      </c>
      <c r="E10" s="1442"/>
      <c r="F10" s="145"/>
      <c r="G10" s="435" t="s">
        <v>60</v>
      </c>
      <c r="H10" s="435" t="s">
        <v>61</v>
      </c>
      <c r="I10" s="1443" t="s">
        <v>62</v>
      </c>
      <c r="J10" s="1444"/>
      <c r="K10" s="145"/>
      <c r="L10" s="435" t="s">
        <v>60</v>
      </c>
      <c r="M10" s="435" t="s">
        <v>61</v>
      </c>
      <c r="N10" s="1443" t="s">
        <v>62</v>
      </c>
      <c r="O10" s="1444"/>
      <c r="P10" s="145"/>
      <c r="Q10" s="436" t="s">
        <v>60</v>
      </c>
      <c r="R10" s="437" t="s">
        <v>61</v>
      </c>
      <c r="S10" s="1445" t="s">
        <v>62</v>
      </c>
      <c r="T10" s="1442"/>
      <c r="U10" s="145"/>
      <c r="V10" s="436" t="s">
        <v>60</v>
      </c>
      <c r="W10" s="437" t="s">
        <v>61</v>
      </c>
      <c r="X10" s="1445" t="s">
        <v>62</v>
      </c>
      <c r="Y10" s="1442"/>
      <c r="Z10" s="145"/>
      <c r="AA10" s="438" t="s">
        <v>63</v>
      </c>
      <c r="AB10" s="1445" t="s">
        <v>64</v>
      </c>
      <c r="AC10" s="1442"/>
      <c r="AD10" s="149"/>
      <c r="AE10" s="1440"/>
    </row>
    <row r="11" spans="1:31" x14ac:dyDescent="0.3">
      <c r="A11" s="150"/>
      <c r="B11" s="439" t="s">
        <v>107</v>
      </c>
      <c r="C11" s="439" t="s">
        <v>107</v>
      </c>
      <c r="D11" s="440" t="s">
        <v>107</v>
      </c>
      <c r="E11" s="153" t="s">
        <v>65</v>
      </c>
      <c r="F11" s="154"/>
      <c r="G11" s="439" t="s">
        <v>107</v>
      </c>
      <c r="H11" s="439" t="s">
        <v>107</v>
      </c>
      <c r="I11" s="441" t="s">
        <v>107</v>
      </c>
      <c r="J11" s="156" t="s">
        <v>65</v>
      </c>
      <c r="K11" s="154"/>
      <c r="L11" s="439" t="s">
        <v>107</v>
      </c>
      <c r="M11" s="439" t="s">
        <v>107</v>
      </c>
      <c r="N11" s="441" t="s">
        <v>107</v>
      </c>
      <c r="O11" s="157" t="s">
        <v>65</v>
      </c>
      <c r="P11" s="154"/>
      <c r="Q11" s="442" t="s">
        <v>107</v>
      </c>
      <c r="R11" s="443" t="s">
        <v>107</v>
      </c>
      <c r="S11" s="444" t="s">
        <v>107</v>
      </c>
      <c r="T11" s="161" t="s">
        <v>65</v>
      </c>
      <c r="U11" s="154"/>
      <c r="V11" s="442" t="s">
        <v>107</v>
      </c>
      <c r="W11" s="443" t="s">
        <v>107</v>
      </c>
      <c r="X11" s="444" t="s">
        <v>107</v>
      </c>
      <c r="Y11" s="161" t="s">
        <v>65</v>
      </c>
      <c r="Z11" s="154"/>
      <c r="AA11" s="442" t="s">
        <v>107</v>
      </c>
      <c r="AB11" s="444" t="s">
        <v>107</v>
      </c>
      <c r="AC11" s="161" t="s">
        <v>65</v>
      </c>
      <c r="AD11" s="162"/>
      <c r="AE11" s="1440"/>
    </row>
    <row r="12" spans="1:31" x14ac:dyDescent="0.3">
      <c r="A12" s="163"/>
      <c r="B12" s="445"/>
      <c r="C12" s="445"/>
      <c r="D12" s="446"/>
      <c r="E12" s="166"/>
      <c r="F12" s="167"/>
      <c r="G12" s="445"/>
      <c r="H12" s="445"/>
      <c r="I12" s="446"/>
      <c r="J12" s="166"/>
      <c r="K12" s="167"/>
      <c r="L12" s="445"/>
      <c r="M12" s="445"/>
      <c r="N12" s="446"/>
      <c r="O12" s="168"/>
      <c r="P12" s="167"/>
      <c r="Q12" s="446"/>
      <c r="R12" s="446"/>
      <c r="S12" s="446"/>
      <c r="T12" s="168"/>
      <c r="U12" s="169"/>
      <c r="V12" s="447"/>
      <c r="W12" s="446"/>
      <c r="X12" s="446"/>
      <c r="Y12" s="168"/>
      <c r="Z12" s="167"/>
      <c r="AA12" s="446"/>
      <c r="AB12" s="446"/>
      <c r="AC12" s="168"/>
      <c r="AD12" s="167"/>
      <c r="AE12" s="171"/>
    </row>
    <row r="13" spans="1:31" x14ac:dyDescent="0.3">
      <c r="A13" s="172" t="s">
        <v>66</v>
      </c>
      <c r="B13" s="448"/>
      <c r="C13" s="448"/>
      <c r="D13" s="448"/>
      <c r="E13" s="174"/>
      <c r="F13" s="175"/>
      <c r="G13" s="448"/>
      <c r="H13" s="448"/>
      <c r="I13" s="448"/>
      <c r="J13" s="174"/>
      <c r="K13" s="175"/>
      <c r="L13" s="448"/>
      <c r="M13" s="448"/>
      <c r="N13" s="448"/>
      <c r="O13" s="176"/>
      <c r="P13" s="175"/>
      <c r="Q13" s="448"/>
      <c r="R13" s="448"/>
      <c r="S13" s="448"/>
      <c r="T13" s="176"/>
      <c r="U13" s="177"/>
      <c r="V13" s="449"/>
      <c r="W13" s="448"/>
      <c r="X13" s="448"/>
      <c r="Y13" s="176"/>
      <c r="Z13" s="179"/>
      <c r="AA13" s="448"/>
      <c r="AB13" s="448"/>
      <c r="AC13" s="176"/>
      <c r="AD13" s="175"/>
      <c r="AE13" s="180"/>
    </row>
    <row r="14" spans="1:31" x14ac:dyDescent="0.3">
      <c r="A14" s="181" t="s">
        <v>132</v>
      </c>
      <c r="B14" s="452">
        <v>4091052.75</v>
      </c>
      <c r="C14" s="452">
        <v>4142701.72</v>
      </c>
      <c r="D14" s="452">
        <f>C14-B14</f>
        <v>51648.970000000205</v>
      </c>
      <c r="E14" s="183">
        <f t="shared" ref="E14:E25" si="0">IF(ISERROR(D14/B14),"-",D14/B14)</f>
        <v>1.2624860434762228E-2</v>
      </c>
      <c r="F14" s="184"/>
      <c r="G14" s="452">
        <v>4091052.75</v>
      </c>
      <c r="H14" s="452">
        <v>4421013.0599999987</v>
      </c>
      <c r="I14" s="452">
        <f>H14-G14</f>
        <v>329960.30999999866</v>
      </c>
      <c r="J14" s="183">
        <f t="shared" ref="J14:J25" si="1">IF(ISERROR(I14/G14),"-",I14/G14)</f>
        <v>8.0654132362384875E-2</v>
      </c>
      <c r="K14" s="184"/>
      <c r="L14" s="452">
        <v>4091052.75</v>
      </c>
      <c r="M14" s="452">
        <v>4457567.59</v>
      </c>
      <c r="N14" s="452">
        <f>M14-L14</f>
        <v>366514.83999999985</v>
      </c>
      <c r="O14" s="185">
        <f t="shared" ref="O14:O24" si="2">IF(ISERROR(N14/L14),"-",N14/L14)</f>
        <v>8.9589370364388451E-2</v>
      </c>
      <c r="P14" s="184"/>
      <c r="Q14" s="452">
        <v>4091052.75</v>
      </c>
      <c r="R14" s="452">
        <v>4567348.9700000007</v>
      </c>
      <c r="S14" s="452">
        <f>R14-Q14</f>
        <v>476296.22000000067</v>
      </c>
      <c r="T14" s="185">
        <f t="shared" ref="T14:T29" si="3">IF(ISERROR(S14/Q14),"-",S14/Q14)</f>
        <v>0.116423876470427</v>
      </c>
      <c r="U14" s="186"/>
      <c r="V14" s="1060">
        <f>B14+G14+L14+Q14</f>
        <v>16364211</v>
      </c>
      <c r="W14" s="452">
        <f>C14+H14+M14+R14</f>
        <v>17588631.34</v>
      </c>
      <c r="X14" s="452">
        <f>W14-V14</f>
        <v>1224420.3399999999</v>
      </c>
      <c r="Y14" s="185">
        <f t="shared" ref="Y14:Y25" si="4">IF(ISERROR(X14/V14),"-",X14/V14)</f>
        <v>7.4823059907990666E-2</v>
      </c>
      <c r="Z14" s="188"/>
      <c r="AA14" s="485">
        <v>16364211</v>
      </c>
      <c r="AB14" s="452">
        <f>AA14-W14</f>
        <v>-1224420.3399999999</v>
      </c>
      <c r="AC14" s="185">
        <f t="shared" ref="AC14:AC27" si="5">IF(ISERROR(AB14/AA14),"-",AB14/AA14)</f>
        <v>-7.4823059907990666E-2</v>
      </c>
      <c r="AD14" s="184"/>
      <c r="AE14" s="189"/>
    </row>
    <row r="15" spans="1:31" x14ac:dyDescent="0.3">
      <c r="A15" s="190" t="s">
        <v>111</v>
      </c>
      <c r="B15" s="452">
        <v>0</v>
      </c>
      <c r="C15" s="452">
        <v>0</v>
      </c>
      <c r="D15" s="452">
        <f t="shared" ref="D15:D24" si="6">C15-B15</f>
        <v>0</v>
      </c>
      <c r="E15" s="183" t="str">
        <f t="shared" si="0"/>
        <v>-</v>
      </c>
      <c r="F15" s="184"/>
      <c r="G15" s="452">
        <v>0</v>
      </c>
      <c r="H15" s="452">
        <v>0</v>
      </c>
      <c r="I15" s="452">
        <f t="shared" ref="I15:I24" si="7">H15-G15</f>
        <v>0</v>
      </c>
      <c r="J15" s="183" t="str">
        <f t="shared" si="1"/>
        <v>-</v>
      </c>
      <c r="K15" s="184"/>
      <c r="L15" s="959">
        <v>0</v>
      </c>
      <c r="M15" s="452">
        <v>0</v>
      </c>
      <c r="N15" s="452">
        <f t="shared" ref="N15:N24" si="8">M15-L15</f>
        <v>0</v>
      </c>
      <c r="O15" s="185" t="str">
        <f t="shared" si="2"/>
        <v>-</v>
      </c>
      <c r="P15" s="184"/>
      <c r="Q15" s="452">
        <v>0</v>
      </c>
      <c r="R15" s="452">
        <v>0</v>
      </c>
      <c r="S15" s="452">
        <f t="shared" ref="S15:S24" si="9">R15-Q15</f>
        <v>0</v>
      </c>
      <c r="T15" s="185" t="str">
        <f t="shared" si="3"/>
        <v>-</v>
      </c>
      <c r="U15" s="186"/>
      <c r="V15" s="453">
        <f>B15+G15+L15+Q15</f>
        <v>0</v>
      </c>
      <c r="W15" s="452">
        <f t="shared" ref="W15:W24" si="10">C15+H15+M15+R15</f>
        <v>0</v>
      </c>
      <c r="X15" s="452">
        <f t="shared" ref="X15:X24" si="11">W15-V15</f>
        <v>0</v>
      </c>
      <c r="Y15" s="185" t="str">
        <f t="shared" si="4"/>
        <v>-</v>
      </c>
      <c r="Z15" s="188"/>
      <c r="AA15" s="450">
        <v>0</v>
      </c>
      <c r="AB15" s="452">
        <f t="shared" ref="AB15:AB24" si="12">AA15-W15</f>
        <v>0</v>
      </c>
      <c r="AC15" s="185" t="str">
        <f t="shared" si="5"/>
        <v>-</v>
      </c>
      <c r="AD15" s="184"/>
      <c r="AE15" s="189"/>
    </row>
    <row r="16" spans="1:31" x14ac:dyDescent="0.3">
      <c r="A16" s="190" t="s">
        <v>69</v>
      </c>
      <c r="B16" s="452">
        <v>0</v>
      </c>
      <c r="C16" s="452">
        <v>0</v>
      </c>
      <c r="D16" s="452">
        <f t="shared" si="6"/>
        <v>0</v>
      </c>
      <c r="E16" s="183" t="str">
        <f t="shared" si="0"/>
        <v>-</v>
      </c>
      <c r="F16" s="191"/>
      <c r="G16" s="452">
        <v>0</v>
      </c>
      <c r="H16" s="452">
        <v>0</v>
      </c>
      <c r="I16" s="452">
        <f t="shared" si="7"/>
        <v>0</v>
      </c>
      <c r="J16" s="183" t="str">
        <f t="shared" si="1"/>
        <v>-</v>
      </c>
      <c r="K16" s="191"/>
      <c r="L16" s="959">
        <v>0</v>
      </c>
      <c r="M16" s="452">
        <v>0</v>
      </c>
      <c r="N16" s="452">
        <f t="shared" si="8"/>
        <v>0</v>
      </c>
      <c r="O16" s="185" t="str">
        <f t="shared" si="2"/>
        <v>-</v>
      </c>
      <c r="P16" s="191"/>
      <c r="Q16" s="452">
        <v>0</v>
      </c>
      <c r="R16" s="452">
        <v>0</v>
      </c>
      <c r="S16" s="452">
        <f t="shared" si="9"/>
        <v>0</v>
      </c>
      <c r="T16" s="185" t="str">
        <f t="shared" si="3"/>
        <v>-</v>
      </c>
      <c r="U16" s="192"/>
      <c r="V16" s="453">
        <f t="shared" ref="V16:V24" si="13">B16+G16+L16+Q16</f>
        <v>0</v>
      </c>
      <c r="W16" s="452">
        <f t="shared" si="10"/>
        <v>0</v>
      </c>
      <c r="X16" s="452">
        <f t="shared" si="11"/>
        <v>0</v>
      </c>
      <c r="Y16" s="185" t="str">
        <f t="shared" si="4"/>
        <v>-</v>
      </c>
      <c r="Z16" s="188"/>
      <c r="AA16" s="450">
        <v>0</v>
      </c>
      <c r="AB16" s="452">
        <f t="shared" si="12"/>
        <v>0</v>
      </c>
      <c r="AC16" s="185" t="str">
        <f t="shared" si="5"/>
        <v>-</v>
      </c>
      <c r="AD16" s="191"/>
      <c r="AE16" s="193"/>
    </row>
    <row r="17" spans="1:33" x14ac:dyDescent="0.3">
      <c r="A17" s="190" t="s">
        <v>68</v>
      </c>
      <c r="B17" s="452">
        <v>1200</v>
      </c>
      <c r="C17" s="452">
        <v>903.25</v>
      </c>
      <c r="D17" s="452">
        <f t="shared" si="6"/>
        <v>-296.75</v>
      </c>
      <c r="E17" s="183">
        <f t="shared" si="0"/>
        <v>-0.24729166666666666</v>
      </c>
      <c r="F17" s="184"/>
      <c r="G17" s="452">
        <v>1200</v>
      </c>
      <c r="H17" s="452">
        <v>904</v>
      </c>
      <c r="I17" s="452">
        <f t="shared" si="7"/>
        <v>-296</v>
      </c>
      <c r="J17" s="183">
        <f t="shared" si="1"/>
        <v>-0.24666666666666667</v>
      </c>
      <c r="K17" s="184"/>
      <c r="L17" s="464">
        <v>1200</v>
      </c>
      <c r="M17" s="452">
        <v>1356</v>
      </c>
      <c r="N17" s="452">
        <f t="shared" si="8"/>
        <v>156</v>
      </c>
      <c r="O17" s="185">
        <f t="shared" si="2"/>
        <v>0.13</v>
      </c>
      <c r="P17" s="184"/>
      <c r="Q17" s="452">
        <v>1200</v>
      </c>
      <c r="R17" s="452">
        <v>1356.6800000000003</v>
      </c>
      <c r="S17" s="452">
        <f t="shared" si="9"/>
        <v>156.68000000000029</v>
      </c>
      <c r="T17" s="185">
        <f t="shared" si="3"/>
        <v>0.13056666666666691</v>
      </c>
      <c r="U17" s="186"/>
      <c r="V17" s="453">
        <f t="shared" si="13"/>
        <v>4800</v>
      </c>
      <c r="W17" s="452">
        <f t="shared" si="10"/>
        <v>4519.93</v>
      </c>
      <c r="X17" s="452">
        <f t="shared" si="11"/>
        <v>-280.06999999999971</v>
      </c>
      <c r="Y17" s="185">
        <f t="shared" si="4"/>
        <v>-5.8347916666666604E-2</v>
      </c>
      <c r="Z17" s="188"/>
      <c r="AA17" s="450">
        <v>4800</v>
      </c>
      <c r="AB17" s="452">
        <f t="shared" si="12"/>
        <v>280.06999999999971</v>
      </c>
      <c r="AC17" s="185">
        <f t="shared" si="5"/>
        <v>5.8347916666666604E-2</v>
      </c>
      <c r="AD17" s="184"/>
      <c r="AE17" s="189"/>
    </row>
    <row r="18" spans="1:33" x14ac:dyDescent="0.3">
      <c r="A18" s="190" t="s">
        <v>71</v>
      </c>
      <c r="B18" s="452">
        <v>72750</v>
      </c>
      <c r="C18" s="452">
        <v>70484.89</v>
      </c>
      <c r="D18" s="452">
        <f>C18-B18</f>
        <v>-2265.1100000000006</v>
      </c>
      <c r="E18" s="183">
        <f>IF(ISERROR(D18/B18),"-",D18/B18)</f>
        <v>-3.1135532646048118E-2</v>
      </c>
      <c r="F18" s="184"/>
      <c r="G18" s="452">
        <v>72750</v>
      </c>
      <c r="H18" s="452">
        <v>150812.57</v>
      </c>
      <c r="I18" s="452">
        <f t="shared" si="7"/>
        <v>78062.570000000007</v>
      </c>
      <c r="J18" s="183">
        <f t="shared" si="1"/>
        <v>1.0730250171821307</v>
      </c>
      <c r="K18" s="184"/>
      <c r="L18" s="452">
        <v>72750</v>
      </c>
      <c r="M18" s="452">
        <v>55386.349999999991</v>
      </c>
      <c r="N18" s="452">
        <f t="shared" si="8"/>
        <v>-17363.650000000009</v>
      </c>
      <c r="O18" s="185">
        <f t="shared" si="2"/>
        <v>-0.23867560137457056</v>
      </c>
      <c r="P18" s="184"/>
      <c r="Q18" s="452">
        <v>72750</v>
      </c>
      <c r="R18" s="452">
        <v>239906.06</v>
      </c>
      <c r="S18" s="452">
        <f t="shared" si="9"/>
        <v>167156.06</v>
      </c>
      <c r="T18" s="185">
        <f t="shared" si="3"/>
        <v>2.2976778006872851</v>
      </c>
      <c r="U18" s="186"/>
      <c r="V18" s="453">
        <f t="shared" si="13"/>
        <v>291000</v>
      </c>
      <c r="W18" s="452">
        <f t="shared" si="10"/>
        <v>516589.87</v>
      </c>
      <c r="X18" s="452">
        <f t="shared" si="11"/>
        <v>225589.87</v>
      </c>
      <c r="Y18" s="185">
        <f t="shared" si="4"/>
        <v>0.77522292096219925</v>
      </c>
      <c r="Z18" s="188"/>
      <c r="AA18" s="450">
        <v>291000</v>
      </c>
      <c r="AB18" s="452">
        <f t="shared" si="12"/>
        <v>-225589.87</v>
      </c>
      <c r="AC18" s="185">
        <f t="shared" si="5"/>
        <v>-0.77522292096219925</v>
      </c>
      <c r="AD18" s="184"/>
      <c r="AE18" s="189"/>
    </row>
    <row r="19" spans="1:33" x14ac:dyDescent="0.3">
      <c r="A19" s="190" t="s">
        <v>197</v>
      </c>
      <c r="B19" s="452">
        <v>115024.25</v>
      </c>
      <c r="C19" s="452">
        <v>251426.72</v>
      </c>
      <c r="D19" s="452">
        <f t="shared" si="6"/>
        <v>136402.47</v>
      </c>
      <c r="E19" s="183">
        <f t="shared" si="0"/>
        <v>1.1858583733430124</v>
      </c>
      <c r="F19" s="184"/>
      <c r="G19" s="452">
        <v>115024.25</v>
      </c>
      <c r="H19" s="452">
        <v>121938.82999999999</v>
      </c>
      <c r="I19" s="452">
        <f t="shared" si="7"/>
        <v>6914.5799999999872</v>
      </c>
      <c r="J19" s="183">
        <f t="shared" si="1"/>
        <v>6.0114106373221191E-2</v>
      </c>
      <c r="K19" s="184"/>
      <c r="L19" s="452">
        <v>115024.25</v>
      </c>
      <c r="M19" s="452">
        <v>0</v>
      </c>
      <c r="N19" s="452">
        <f t="shared" si="8"/>
        <v>-115024.25</v>
      </c>
      <c r="O19" s="185">
        <f t="shared" si="2"/>
        <v>-1</v>
      </c>
      <c r="P19" s="184"/>
      <c r="Q19" s="452">
        <v>115024.25</v>
      </c>
      <c r="R19" s="452">
        <v>296178.33000000007</v>
      </c>
      <c r="S19" s="452">
        <f>R19-Q19</f>
        <v>181154.08000000007</v>
      </c>
      <c r="T19" s="185">
        <f t="shared" si="3"/>
        <v>1.5749207667078906</v>
      </c>
      <c r="U19" s="186"/>
      <c r="V19" s="453">
        <f t="shared" si="13"/>
        <v>460097</v>
      </c>
      <c r="W19" s="452">
        <f>C19+H19+M19+R19</f>
        <v>669543.88000000012</v>
      </c>
      <c r="X19" s="452">
        <f>W19-V19</f>
        <v>209446.88000000012</v>
      </c>
      <c r="Y19" s="185">
        <f>IF(ISERROR(X19/V19),"-",X19/V19)</f>
        <v>0.45522331160603119</v>
      </c>
      <c r="Z19" s="188"/>
      <c r="AA19" s="450">
        <v>460097</v>
      </c>
      <c r="AB19" s="452">
        <f t="shared" si="12"/>
        <v>-209446.88000000012</v>
      </c>
      <c r="AC19" s="185"/>
      <c r="AD19" s="184"/>
      <c r="AE19" s="189"/>
    </row>
    <row r="20" spans="1:33" x14ac:dyDescent="0.3">
      <c r="A20" s="194" t="s">
        <v>67</v>
      </c>
      <c r="B20" s="452">
        <v>0</v>
      </c>
      <c r="C20" s="452">
        <v>0</v>
      </c>
      <c r="D20" s="452">
        <f t="shared" si="6"/>
        <v>0</v>
      </c>
      <c r="E20" s="183" t="str">
        <f t="shared" si="0"/>
        <v>-</v>
      </c>
      <c r="F20" s="184"/>
      <c r="G20" s="452">
        <v>0</v>
      </c>
      <c r="H20" s="452">
        <v>0</v>
      </c>
      <c r="I20" s="452">
        <f t="shared" si="7"/>
        <v>0</v>
      </c>
      <c r="J20" s="183" t="str">
        <f t="shared" si="1"/>
        <v>-</v>
      </c>
      <c r="K20" s="184"/>
      <c r="L20" s="959">
        <v>0</v>
      </c>
      <c r="M20" s="452">
        <v>0</v>
      </c>
      <c r="N20" s="452">
        <f t="shared" si="8"/>
        <v>0</v>
      </c>
      <c r="O20" s="185" t="str">
        <f t="shared" si="2"/>
        <v>-</v>
      </c>
      <c r="P20" s="184"/>
      <c r="Q20" s="452">
        <v>0</v>
      </c>
      <c r="R20" s="452">
        <v>0</v>
      </c>
      <c r="S20" s="452">
        <f t="shared" si="9"/>
        <v>0</v>
      </c>
      <c r="T20" s="185" t="str">
        <f t="shared" si="3"/>
        <v>-</v>
      </c>
      <c r="U20" s="186"/>
      <c r="V20" s="453">
        <f t="shared" si="13"/>
        <v>0</v>
      </c>
      <c r="W20" s="452">
        <f t="shared" si="10"/>
        <v>0</v>
      </c>
      <c r="X20" s="452">
        <f t="shared" si="11"/>
        <v>0</v>
      </c>
      <c r="Y20" s="185" t="str">
        <f t="shared" si="4"/>
        <v>-</v>
      </c>
      <c r="Z20" s="188"/>
      <c r="AA20" s="450">
        <v>0</v>
      </c>
      <c r="AB20" s="452">
        <f t="shared" si="12"/>
        <v>0</v>
      </c>
      <c r="AC20" s="185" t="str">
        <f t="shared" si="5"/>
        <v>-</v>
      </c>
      <c r="AD20" s="184"/>
      <c r="AE20" s="189"/>
    </row>
    <row r="21" spans="1:33" x14ac:dyDescent="0.3">
      <c r="A21" s="181" t="s">
        <v>112</v>
      </c>
      <c r="B21" s="452">
        <v>5485603.25</v>
      </c>
      <c r="C21" s="452">
        <v>5485603.2300000004</v>
      </c>
      <c r="D21" s="452">
        <f t="shared" si="6"/>
        <v>-1.9999999552965164E-2</v>
      </c>
      <c r="E21" s="183">
        <f t="shared" si="0"/>
        <v>-3.645907048229411E-9</v>
      </c>
      <c r="F21" s="184"/>
      <c r="G21" s="452">
        <v>5485603.25</v>
      </c>
      <c r="H21" s="452">
        <v>5485603.2300000004</v>
      </c>
      <c r="I21" s="452">
        <f t="shared" si="7"/>
        <v>-1.9999999552965164E-2</v>
      </c>
      <c r="J21" s="183">
        <f t="shared" si="1"/>
        <v>-3.645907048229411E-9</v>
      </c>
      <c r="K21" s="184"/>
      <c r="L21" s="452">
        <v>5485603.25</v>
      </c>
      <c r="M21" s="452">
        <v>5485603.2299999986</v>
      </c>
      <c r="N21" s="452">
        <f t="shared" si="8"/>
        <v>-2.0000001415610313E-2</v>
      </c>
      <c r="O21" s="185">
        <f t="shared" si="2"/>
        <v>-3.6459073877809726E-9</v>
      </c>
      <c r="P21" s="184"/>
      <c r="Q21" s="452">
        <v>5485603.25</v>
      </c>
      <c r="R21" s="452">
        <v>6928740.6099999994</v>
      </c>
      <c r="S21" s="452">
        <f t="shared" si="9"/>
        <v>1443137.3599999994</v>
      </c>
      <c r="T21" s="185">
        <f t="shared" si="3"/>
        <v>0.26307723949959366</v>
      </c>
      <c r="U21" s="186"/>
      <c r="V21" s="453">
        <f t="shared" si="13"/>
        <v>21942413</v>
      </c>
      <c r="W21" s="452">
        <f t="shared" si="10"/>
        <v>23385550.299999997</v>
      </c>
      <c r="X21" s="452">
        <f t="shared" si="11"/>
        <v>1443137.299999997</v>
      </c>
      <c r="Y21" s="185">
        <f t="shared" si="4"/>
        <v>6.5769307140467956E-2</v>
      </c>
      <c r="Z21" s="188"/>
      <c r="AA21" s="450">
        <v>21942413</v>
      </c>
      <c r="AB21" s="452">
        <f t="shared" si="12"/>
        <v>-1443137.299999997</v>
      </c>
      <c r="AC21" s="185">
        <f t="shared" si="5"/>
        <v>-6.5769307140467956E-2</v>
      </c>
      <c r="AD21" s="184"/>
      <c r="AE21" s="189"/>
    </row>
    <row r="22" spans="1:33" x14ac:dyDescent="0.3">
      <c r="A22" s="190" t="s">
        <v>70</v>
      </c>
      <c r="B22" s="452">
        <v>600663</v>
      </c>
      <c r="C22" s="452">
        <v>598770.5</v>
      </c>
      <c r="D22" s="452">
        <f t="shared" si="6"/>
        <v>-1892.5</v>
      </c>
      <c r="E22" s="183">
        <f t="shared" si="0"/>
        <v>-3.1506851595653469E-3</v>
      </c>
      <c r="F22" s="184"/>
      <c r="G22" s="452">
        <v>600663</v>
      </c>
      <c r="H22" s="452">
        <v>329590.07000000007</v>
      </c>
      <c r="I22" s="452">
        <f t="shared" si="7"/>
        <v>-271072.92999999993</v>
      </c>
      <c r="J22" s="183">
        <f t="shared" si="1"/>
        <v>-0.45128954172306257</v>
      </c>
      <c r="K22" s="184"/>
      <c r="L22" s="452">
        <v>600663</v>
      </c>
      <c r="M22" s="452">
        <v>65583.649999999907</v>
      </c>
      <c r="N22" s="452">
        <f t="shared" si="8"/>
        <v>-535079.35000000009</v>
      </c>
      <c r="O22" s="185">
        <f t="shared" si="2"/>
        <v>-0.89081456657060631</v>
      </c>
      <c r="P22" s="184"/>
      <c r="Q22" s="452">
        <v>600663</v>
      </c>
      <c r="R22" s="452">
        <v>2264345.04</v>
      </c>
      <c r="S22" s="452">
        <f t="shared" si="9"/>
        <v>1663682.04</v>
      </c>
      <c r="T22" s="185">
        <f t="shared" si="3"/>
        <v>2.7697428341682442</v>
      </c>
      <c r="U22" s="186"/>
      <c r="V22" s="453">
        <f t="shared" si="13"/>
        <v>2402652</v>
      </c>
      <c r="W22" s="452">
        <f t="shared" si="10"/>
        <v>3258289.26</v>
      </c>
      <c r="X22" s="452">
        <f t="shared" si="11"/>
        <v>855637.25999999978</v>
      </c>
      <c r="Y22" s="185">
        <f t="shared" si="4"/>
        <v>0.35612201017875239</v>
      </c>
      <c r="Z22" s="188"/>
      <c r="AA22" s="450">
        <v>2402652</v>
      </c>
      <c r="AB22" s="452">
        <f t="shared" si="12"/>
        <v>-855637.25999999978</v>
      </c>
      <c r="AC22" s="185">
        <f t="shared" si="5"/>
        <v>-0.35612201017875239</v>
      </c>
      <c r="AD22" s="184"/>
      <c r="AE22" s="189"/>
      <c r="AG22" s="195"/>
    </row>
    <row r="23" spans="1:33" x14ac:dyDescent="0.3">
      <c r="A23" s="190" t="s">
        <v>72</v>
      </c>
      <c r="B23" s="452">
        <v>0</v>
      </c>
      <c r="C23" s="452">
        <v>0</v>
      </c>
      <c r="D23" s="452">
        <f t="shared" si="6"/>
        <v>0</v>
      </c>
      <c r="E23" s="183" t="str">
        <f t="shared" si="0"/>
        <v>-</v>
      </c>
      <c r="F23" s="184"/>
      <c r="G23" s="452">
        <v>0</v>
      </c>
      <c r="H23" s="452">
        <v>0</v>
      </c>
      <c r="I23" s="452">
        <f t="shared" si="7"/>
        <v>0</v>
      </c>
      <c r="J23" s="183" t="str">
        <f t="shared" si="1"/>
        <v>-</v>
      </c>
      <c r="K23" s="184"/>
      <c r="L23" s="959">
        <v>0</v>
      </c>
      <c r="M23" s="452">
        <v>0</v>
      </c>
      <c r="N23" s="452">
        <f t="shared" si="8"/>
        <v>0</v>
      </c>
      <c r="O23" s="185" t="str">
        <f t="shared" si="2"/>
        <v>-</v>
      </c>
      <c r="P23" s="184"/>
      <c r="Q23" s="452">
        <v>0</v>
      </c>
      <c r="R23" s="452">
        <v>0</v>
      </c>
      <c r="S23" s="452">
        <f t="shared" si="9"/>
        <v>0</v>
      </c>
      <c r="T23" s="185" t="str">
        <f t="shared" si="3"/>
        <v>-</v>
      </c>
      <c r="U23" s="186"/>
      <c r="V23" s="453">
        <f t="shared" si="13"/>
        <v>0</v>
      </c>
      <c r="W23" s="452">
        <f t="shared" si="10"/>
        <v>0</v>
      </c>
      <c r="X23" s="452">
        <f t="shared" si="11"/>
        <v>0</v>
      </c>
      <c r="Y23" s="185" t="str">
        <f t="shared" si="4"/>
        <v>-</v>
      </c>
      <c r="Z23" s="188"/>
      <c r="AA23" s="450">
        <v>0</v>
      </c>
      <c r="AB23" s="452">
        <f t="shared" si="12"/>
        <v>0</v>
      </c>
      <c r="AC23" s="185" t="str">
        <f t="shared" si="5"/>
        <v>-</v>
      </c>
      <c r="AD23" s="184"/>
      <c r="AE23" s="193"/>
    </row>
    <row r="24" spans="1:33" x14ac:dyDescent="0.3">
      <c r="A24" s="190" t="s">
        <v>131</v>
      </c>
      <c r="B24" s="454">
        <v>0</v>
      </c>
      <c r="C24" s="454">
        <v>0</v>
      </c>
      <c r="D24" s="452">
        <f t="shared" si="6"/>
        <v>0</v>
      </c>
      <c r="E24" s="196" t="str">
        <f t="shared" si="0"/>
        <v>-</v>
      </c>
      <c r="F24" s="184"/>
      <c r="G24" s="454">
        <v>0</v>
      </c>
      <c r="H24" s="454">
        <v>0</v>
      </c>
      <c r="I24" s="452">
        <f t="shared" si="7"/>
        <v>0</v>
      </c>
      <c r="J24" s="196" t="str">
        <f t="shared" si="1"/>
        <v>-</v>
      </c>
      <c r="K24" s="184"/>
      <c r="L24" s="959">
        <v>0</v>
      </c>
      <c r="M24" s="452">
        <v>0</v>
      </c>
      <c r="N24" s="452">
        <f t="shared" si="8"/>
        <v>0</v>
      </c>
      <c r="O24" s="185" t="str">
        <f t="shared" si="2"/>
        <v>-</v>
      </c>
      <c r="P24" s="184"/>
      <c r="Q24" s="452">
        <v>0</v>
      </c>
      <c r="R24" s="452">
        <v>0</v>
      </c>
      <c r="S24" s="452">
        <f t="shared" si="9"/>
        <v>0</v>
      </c>
      <c r="T24" s="197" t="str">
        <f t="shared" si="3"/>
        <v>-</v>
      </c>
      <c r="U24" s="198"/>
      <c r="V24" s="453">
        <f t="shared" si="13"/>
        <v>0</v>
      </c>
      <c r="W24" s="452">
        <f t="shared" si="10"/>
        <v>0</v>
      </c>
      <c r="X24" s="452">
        <f t="shared" si="11"/>
        <v>0</v>
      </c>
      <c r="Y24" s="197" t="str">
        <f t="shared" si="4"/>
        <v>-</v>
      </c>
      <c r="Z24" s="188"/>
      <c r="AA24" s="450">
        <v>0</v>
      </c>
      <c r="AB24" s="452">
        <f t="shared" si="12"/>
        <v>0</v>
      </c>
      <c r="AC24" s="197" t="str">
        <f t="shared" si="5"/>
        <v>-</v>
      </c>
      <c r="AD24" s="184"/>
      <c r="AE24" s="189"/>
    </row>
    <row r="25" spans="1:33" x14ac:dyDescent="0.3">
      <c r="A25" s="199" t="s">
        <v>73</v>
      </c>
      <c r="B25" s="455">
        <f>SUM(B14:B24)</f>
        <v>10366293.25</v>
      </c>
      <c r="C25" s="456">
        <f>SUM(C14:C24)</f>
        <v>10549890.310000001</v>
      </c>
      <c r="D25" s="456">
        <f>SUM(D14:D24)</f>
        <v>183597.06000000064</v>
      </c>
      <c r="E25" s="202">
        <f t="shared" si="0"/>
        <v>1.7710965296105302E-2</v>
      </c>
      <c r="F25" s="203"/>
      <c r="G25" s="455">
        <f>SUM(G14:G24)</f>
        <v>10366293.25</v>
      </c>
      <c r="H25" s="456">
        <f>SUM(H14:H24)</f>
        <v>10509861.76</v>
      </c>
      <c r="I25" s="456">
        <f>SUM(I14:I24)</f>
        <v>143568.50999999919</v>
      </c>
      <c r="J25" s="202">
        <f t="shared" si="1"/>
        <v>1.3849551284881816E-2</v>
      </c>
      <c r="K25" s="203"/>
      <c r="L25" s="455">
        <f>SUM(L14:L24)</f>
        <v>10366293.25</v>
      </c>
      <c r="M25" s="456">
        <f>SUM(M14:M24)</f>
        <v>10065496.819999998</v>
      </c>
      <c r="N25" s="456">
        <f>SUM(N14:N24)</f>
        <v>-300796.43000000168</v>
      </c>
      <c r="O25" s="204">
        <f>IF(ISERROR(N25/L25),"-",N25/L25)</f>
        <v>-2.901677800789609E-2</v>
      </c>
      <c r="P25" s="203"/>
      <c r="Q25" s="455">
        <f>SUM(Q14:Q24)</f>
        <v>10366293.25</v>
      </c>
      <c r="R25" s="456">
        <f>SUM(R14:R24)</f>
        <v>14297875.689999998</v>
      </c>
      <c r="S25" s="456">
        <f>SUM(S14:S24)</f>
        <v>3931582.4400000004</v>
      </c>
      <c r="T25" s="205">
        <f t="shared" si="3"/>
        <v>0.37926598690423891</v>
      </c>
      <c r="U25" s="203"/>
      <c r="V25" s="455">
        <f>SUM(V14:V24)</f>
        <v>41465173</v>
      </c>
      <c r="W25" s="456">
        <f>SUM(W14:W24)</f>
        <v>45423124.579999991</v>
      </c>
      <c r="X25" s="456">
        <f>SUM(X14:X24)</f>
        <v>3957951.5799999963</v>
      </c>
      <c r="Y25" s="205">
        <f t="shared" si="4"/>
        <v>9.545243136933243E-2</v>
      </c>
      <c r="Z25" s="179"/>
      <c r="AA25" s="457">
        <f>SUM(AA14:AA24)</f>
        <v>41465173</v>
      </c>
      <c r="AB25" s="458">
        <f>SUM(AB14:AB24)</f>
        <v>-3957951.5799999963</v>
      </c>
      <c r="AC25" s="208">
        <f t="shared" si="5"/>
        <v>-9.545243136933243E-2</v>
      </c>
      <c r="AD25" s="203"/>
      <c r="AE25" s="209"/>
    </row>
    <row r="26" spans="1:33" x14ac:dyDescent="0.3">
      <c r="A26" s="210"/>
      <c r="B26" s="459"/>
      <c r="C26" s="460"/>
      <c r="D26" s="460"/>
      <c r="E26" s="213"/>
      <c r="F26" s="184"/>
      <c r="G26" s="461"/>
      <c r="H26" s="462"/>
      <c r="I26" s="462"/>
      <c r="J26" s="216"/>
      <c r="K26" s="184"/>
      <c r="L26" s="459"/>
      <c r="M26" s="991"/>
      <c r="N26" s="991"/>
      <c r="O26" s="217"/>
      <c r="P26" s="184"/>
      <c r="Q26" s="461"/>
      <c r="R26" s="462"/>
      <c r="S26" s="462"/>
      <c r="T26" s="218" t="str">
        <f t="shared" si="3"/>
        <v>-</v>
      </c>
      <c r="U26" s="184"/>
      <c r="V26" s="459"/>
      <c r="W26" s="460"/>
      <c r="X26" s="460"/>
      <c r="Y26" s="217"/>
      <c r="Z26" s="188"/>
      <c r="AA26" s="459"/>
      <c r="AB26" s="460"/>
      <c r="AC26" s="217"/>
      <c r="AD26" s="184"/>
      <c r="AE26" s="189"/>
    </row>
    <row r="27" spans="1:33" x14ac:dyDescent="0.3">
      <c r="A27" s="172" t="s">
        <v>74</v>
      </c>
      <c r="B27" s="450">
        <v>0</v>
      </c>
      <c r="C27" s="451">
        <v>0</v>
      </c>
      <c r="D27" s="451">
        <f>C27-B27</f>
        <v>0</v>
      </c>
      <c r="E27" s="220" t="str">
        <f>IF(ISERROR(D27/B27),"-",D27/B27)</f>
        <v>-</v>
      </c>
      <c r="F27" s="184"/>
      <c r="G27" s="463">
        <v>0</v>
      </c>
      <c r="H27" s="464">
        <v>0</v>
      </c>
      <c r="I27" s="451">
        <f>H27-G27</f>
        <v>0</v>
      </c>
      <c r="J27" s="221" t="str">
        <f>IF(ISERROR(I27/G27),"-",I27/G27)</f>
        <v>-</v>
      </c>
      <c r="K27" s="184"/>
      <c r="L27" s="450">
        <v>0</v>
      </c>
      <c r="M27" s="451">
        <v>0</v>
      </c>
      <c r="N27" s="963">
        <f>M27-L27</f>
        <v>0</v>
      </c>
      <c r="O27" s="222" t="str">
        <f>IF(ISERROR(N27/L27),"-",N27/L27)</f>
        <v>-</v>
      </c>
      <c r="P27" s="184"/>
      <c r="Q27" s="463">
        <v>0</v>
      </c>
      <c r="R27" s="464">
        <v>0</v>
      </c>
      <c r="S27" s="451">
        <f>R27-Q27</f>
        <v>0</v>
      </c>
      <c r="T27" s="223" t="str">
        <f t="shared" si="3"/>
        <v>-</v>
      </c>
      <c r="U27" s="184"/>
      <c r="V27" s="450">
        <f>B27+G27+L27+Q27</f>
        <v>0</v>
      </c>
      <c r="W27" s="451">
        <f>C27+H27+M27+R27</f>
        <v>0</v>
      </c>
      <c r="X27" s="451">
        <f>W27-V27</f>
        <v>0</v>
      </c>
      <c r="Y27" s="225"/>
      <c r="Z27" s="188"/>
      <c r="AA27" s="450">
        <v>0</v>
      </c>
      <c r="AB27" s="451">
        <v>0</v>
      </c>
      <c r="AC27" s="197" t="str">
        <f t="shared" si="5"/>
        <v>-</v>
      </c>
      <c r="AD27" s="184"/>
      <c r="AE27" s="189"/>
    </row>
    <row r="28" spans="1:33" x14ac:dyDescent="0.3">
      <c r="A28" s="226"/>
      <c r="B28" s="465"/>
      <c r="C28" s="466"/>
      <c r="D28" s="466"/>
      <c r="E28" s="229"/>
      <c r="F28" s="175"/>
      <c r="G28" s="467"/>
      <c r="H28" s="468"/>
      <c r="I28" s="468"/>
      <c r="J28" s="232"/>
      <c r="K28" s="175"/>
      <c r="L28" s="465"/>
      <c r="M28" s="466"/>
      <c r="N28" s="985"/>
      <c r="O28" s="233"/>
      <c r="P28" s="175"/>
      <c r="Q28" s="467"/>
      <c r="R28" s="468"/>
      <c r="S28" s="468"/>
      <c r="T28" s="234" t="str">
        <f t="shared" si="3"/>
        <v>-</v>
      </c>
      <c r="U28" s="175"/>
      <c r="V28" s="465"/>
      <c r="W28" s="466"/>
      <c r="X28" s="466"/>
      <c r="Y28" s="233"/>
      <c r="Z28" s="179"/>
      <c r="AA28" s="465"/>
      <c r="AB28" s="466"/>
      <c r="AC28" s="233"/>
      <c r="AD28" s="175"/>
      <c r="AE28" s="189"/>
    </row>
    <row r="29" spans="1:33" x14ac:dyDescent="0.3">
      <c r="A29" s="199" t="s">
        <v>75</v>
      </c>
      <c r="B29" s="469">
        <f>B25+B27</f>
        <v>10366293.25</v>
      </c>
      <c r="C29" s="470">
        <f>C25+C27</f>
        <v>10549890.310000001</v>
      </c>
      <c r="D29" s="470">
        <f>D25+D27</f>
        <v>183597.06000000064</v>
      </c>
      <c r="E29" s="237">
        <f>IF(ISERROR(D29/B29),"-",D29/B29)</f>
        <v>1.7710965296105302E-2</v>
      </c>
      <c r="F29" s="203"/>
      <c r="G29" s="469">
        <f>G25+G27</f>
        <v>10366293.25</v>
      </c>
      <c r="H29" s="470">
        <f>H25+H27</f>
        <v>10509861.76</v>
      </c>
      <c r="I29" s="470">
        <f>I25+I27</f>
        <v>143568.50999999919</v>
      </c>
      <c r="J29" s="237">
        <f>IF(ISERROR(I29/G29),"-",I29/G29)</f>
        <v>1.3849551284881816E-2</v>
      </c>
      <c r="K29" s="203"/>
      <c r="L29" s="469">
        <f>L25+L27</f>
        <v>10366293.25</v>
      </c>
      <c r="M29" s="470">
        <f>M25+M27</f>
        <v>10065496.819999998</v>
      </c>
      <c r="N29" s="470">
        <f>N25+N27</f>
        <v>-300796.43000000168</v>
      </c>
      <c r="O29" s="238">
        <f>IF(ISERROR(N29/L29),"-",N29/L29)</f>
        <v>-2.901677800789609E-2</v>
      </c>
      <c r="P29" s="203"/>
      <c r="Q29" s="469">
        <f>Q25+Q27</f>
        <v>10366293.25</v>
      </c>
      <c r="R29" s="470">
        <f>R25+R27</f>
        <v>14297875.689999998</v>
      </c>
      <c r="S29" s="470">
        <f>S25+S27</f>
        <v>3931582.4400000004</v>
      </c>
      <c r="T29" s="238">
        <f t="shared" si="3"/>
        <v>0.37926598690423891</v>
      </c>
      <c r="U29" s="203"/>
      <c r="V29" s="469">
        <f>V25+V27</f>
        <v>41465173</v>
      </c>
      <c r="W29" s="470">
        <f>W25+W27</f>
        <v>45423124.579999991</v>
      </c>
      <c r="X29" s="470">
        <f>X25+X27</f>
        <v>3957951.5799999963</v>
      </c>
      <c r="Y29" s="238">
        <f>IF(ISERROR(X29/V29),"-",X29/V29)</f>
        <v>9.545243136933243E-2</v>
      </c>
      <c r="Z29" s="179"/>
      <c r="AA29" s="471">
        <f>AA25+AA27</f>
        <v>41465173</v>
      </c>
      <c r="AB29" s="472">
        <f>AA29-W29</f>
        <v>-3957951.5799999908</v>
      </c>
      <c r="AC29" s="241">
        <f>IF(ISERROR(AB29/AA29),"-",AB29/AA29)</f>
        <v>-9.5452431369332305E-2</v>
      </c>
      <c r="AD29" s="203"/>
      <c r="AE29" s="209"/>
    </row>
    <row r="30" spans="1:33" x14ac:dyDescent="0.3">
      <c r="A30" s="242"/>
      <c r="B30" s="473"/>
      <c r="C30" s="474"/>
      <c r="D30" s="474"/>
      <c r="E30" s="245"/>
      <c r="F30" s="175"/>
      <c r="G30" s="475"/>
      <c r="H30" s="476"/>
      <c r="I30" s="476"/>
      <c r="J30" s="248"/>
      <c r="K30" s="175"/>
      <c r="L30" s="473"/>
      <c r="M30" s="474"/>
      <c r="N30" s="474"/>
      <c r="O30" s="249"/>
      <c r="P30" s="175"/>
      <c r="Q30" s="475"/>
      <c r="R30" s="476"/>
      <c r="S30" s="476"/>
      <c r="T30" s="250"/>
      <c r="U30" s="175"/>
      <c r="V30" s="459"/>
      <c r="W30" s="460"/>
      <c r="X30" s="474"/>
      <c r="Y30" s="249"/>
      <c r="Z30" s="179"/>
      <c r="AA30" s="459"/>
      <c r="AB30" s="474"/>
      <c r="AC30" s="249"/>
      <c r="AD30" s="175"/>
      <c r="AE30" s="189"/>
    </row>
    <row r="31" spans="1:33" x14ac:dyDescent="0.3">
      <c r="A31" s="172" t="s">
        <v>76</v>
      </c>
      <c r="B31" s="450"/>
      <c r="C31" s="451"/>
      <c r="D31" s="451"/>
      <c r="E31" s="251"/>
      <c r="F31" s="184"/>
      <c r="G31" s="463"/>
      <c r="H31" s="464"/>
      <c r="I31" s="464"/>
      <c r="J31" s="254"/>
      <c r="K31" s="184"/>
      <c r="L31" s="450"/>
      <c r="M31" s="451"/>
      <c r="N31" s="451"/>
      <c r="O31" s="225"/>
      <c r="P31" s="184"/>
      <c r="Q31" s="463"/>
      <c r="R31" s="464"/>
      <c r="S31" s="464"/>
      <c r="T31" s="255"/>
      <c r="U31" s="184"/>
      <c r="V31" s="450"/>
      <c r="W31" s="451"/>
      <c r="X31" s="451"/>
      <c r="Y31" s="225"/>
      <c r="Z31" s="188"/>
      <c r="AA31" s="450"/>
      <c r="AB31" s="451"/>
      <c r="AC31" s="225"/>
      <c r="AD31" s="184"/>
      <c r="AE31" s="189"/>
    </row>
    <row r="32" spans="1:33" x14ac:dyDescent="0.3">
      <c r="A32" s="172" t="s">
        <v>77</v>
      </c>
      <c r="B32" s="450"/>
      <c r="C32" s="451"/>
      <c r="D32" s="451"/>
      <c r="E32" s="251"/>
      <c r="F32" s="184"/>
      <c r="G32" s="463"/>
      <c r="H32" s="464"/>
      <c r="I32" s="464"/>
      <c r="J32" s="254"/>
      <c r="K32" s="184"/>
      <c r="L32" s="450"/>
      <c r="M32" s="451"/>
      <c r="N32" s="451"/>
      <c r="O32" s="225"/>
      <c r="P32" s="184"/>
      <c r="Q32" s="463"/>
      <c r="R32" s="464"/>
      <c r="S32" s="464"/>
      <c r="T32" s="255"/>
      <c r="U32" s="184"/>
      <c r="V32" s="450"/>
      <c r="W32" s="451"/>
      <c r="X32" s="451"/>
      <c r="Y32" s="225"/>
      <c r="Z32" s="188"/>
      <c r="AA32" s="450"/>
      <c r="AB32" s="451"/>
      <c r="AC32" s="225"/>
      <c r="AD32" s="184"/>
      <c r="AE32" s="189"/>
    </row>
    <row r="33" spans="1:31" x14ac:dyDescent="0.3">
      <c r="A33" s="190" t="s">
        <v>78</v>
      </c>
      <c r="B33" s="450">
        <v>5045008</v>
      </c>
      <c r="C33" s="451">
        <v>4600633.2</v>
      </c>
      <c r="D33" s="452">
        <f t="shared" ref="D33:D40" si="14">C33-B33</f>
        <v>-444374.79999999981</v>
      </c>
      <c r="E33" s="220">
        <f>IF(ISERROR(D33/B33),"-",D33/B33)</f>
        <v>-8.8082080345561364E-2</v>
      </c>
      <c r="F33" s="191"/>
      <c r="G33" s="463">
        <v>5045008</v>
      </c>
      <c r="H33" s="464">
        <v>4786019.3600000003</v>
      </c>
      <c r="I33" s="452">
        <f t="shared" ref="I33:I40" si="15">H33-G33</f>
        <v>-258988.63999999966</v>
      </c>
      <c r="J33" s="221">
        <f t="shared" ref="J33:J41" si="16">IF(ISERROR(I33/G33),"-",I33/G33)</f>
        <v>-5.1335625235876668E-2</v>
      </c>
      <c r="K33" s="191"/>
      <c r="L33" s="450">
        <v>5045008</v>
      </c>
      <c r="M33" s="451">
        <f>14228599.92-H33-C33</f>
        <v>4841947.3599999985</v>
      </c>
      <c r="N33" s="452">
        <f t="shared" ref="N33:N40" si="17">M33-L33</f>
        <v>-203060.64000000153</v>
      </c>
      <c r="O33" s="222">
        <f t="shared" ref="O33:O41" si="18">IF(ISERROR(N33/L33),"-",N33/L33)</f>
        <v>-4.024981526292952E-2</v>
      </c>
      <c r="P33" s="191"/>
      <c r="Q33" s="450">
        <v>5045008</v>
      </c>
      <c r="R33" s="450">
        <v>6600478.7700000023</v>
      </c>
      <c r="S33" s="452">
        <f t="shared" ref="S33:S40" si="19">R33-Q33</f>
        <v>1555470.7700000023</v>
      </c>
      <c r="T33" s="223">
        <f t="shared" ref="T33:T41" si="20">IF(ISERROR(S33/Q33),"-",S33/Q33)</f>
        <v>0.30831879156584141</v>
      </c>
      <c r="U33" s="191"/>
      <c r="V33" s="450">
        <f>B33+G33+L33+Q33</f>
        <v>20180032</v>
      </c>
      <c r="W33" s="451">
        <f>C33+H33+M33+R33</f>
        <v>20829078.690000001</v>
      </c>
      <c r="X33" s="452">
        <f t="shared" ref="X33:X40" si="21">W33-V33</f>
        <v>649046.69000000134</v>
      </c>
      <c r="Y33" s="222">
        <f>IF(ISERROR(X33/V33),"-",X33/V33)</f>
        <v>3.2162817680368459E-2</v>
      </c>
      <c r="Z33" s="188"/>
      <c r="AA33" s="450">
        <v>20180032</v>
      </c>
      <c r="AB33" s="451">
        <f t="shared" ref="AB33:AB40" si="22">AA33-W33</f>
        <v>-649046.69000000134</v>
      </c>
      <c r="AC33" s="222">
        <f t="shared" ref="AC33:AC41" si="23">IF(ISERROR(AB33/AA33),"-",AB33/AA33)</f>
        <v>-3.2162817680368459E-2</v>
      </c>
      <c r="AD33" s="191"/>
      <c r="AE33" s="193"/>
    </row>
    <row r="34" spans="1:31" x14ac:dyDescent="0.3">
      <c r="A34" s="190" t="s">
        <v>79</v>
      </c>
      <c r="B34" s="450">
        <v>0</v>
      </c>
      <c r="C34" s="451">
        <v>0</v>
      </c>
      <c r="D34" s="452">
        <f t="shared" si="14"/>
        <v>0</v>
      </c>
      <c r="E34" s="220" t="str">
        <f t="shared" ref="E34:E41" si="24">IF(ISERROR(D34/B34),"-",D34/B34)</f>
        <v>-</v>
      </c>
      <c r="F34" s="191"/>
      <c r="G34" s="463">
        <v>0</v>
      </c>
      <c r="H34" s="464">
        <v>0</v>
      </c>
      <c r="I34" s="452">
        <f t="shared" si="15"/>
        <v>0</v>
      </c>
      <c r="J34" s="221" t="str">
        <f t="shared" si="16"/>
        <v>-</v>
      </c>
      <c r="K34" s="191"/>
      <c r="L34" s="450">
        <v>0</v>
      </c>
      <c r="M34" s="451">
        <v>0</v>
      </c>
      <c r="N34" s="452">
        <f t="shared" si="17"/>
        <v>0</v>
      </c>
      <c r="O34" s="222" t="str">
        <f t="shared" si="18"/>
        <v>-</v>
      </c>
      <c r="P34" s="191"/>
      <c r="Q34" s="450">
        <v>0</v>
      </c>
      <c r="R34" s="450">
        <v>0</v>
      </c>
      <c r="S34" s="452">
        <f t="shared" si="19"/>
        <v>0</v>
      </c>
      <c r="T34" s="223" t="str">
        <f t="shared" si="20"/>
        <v>-</v>
      </c>
      <c r="U34" s="191"/>
      <c r="V34" s="450">
        <f t="shared" ref="V34:V40" si="25">B34+G34+L34+Q34</f>
        <v>0</v>
      </c>
      <c r="W34" s="451">
        <f t="shared" ref="W34:W40" si="26">C34+H34+M34+R34</f>
        <v>0</v>
      </c>
      <c r="X34" s="452">
        <f t="shared" si="21"/>
        <v>0</v>
      </c>
      <c r="Y34" s="222" t="str">
        <f t="shared" ref="Y34:Y41" si="27">IF(ISERROR(X34/V34),"-",X34/V34)</f>
        <v>-</v>
      </c>
      <c r="Z34" s="188"/>
      <c r="AA34" s="450">
        <v>0</v>
      </c>
      <c r="AB34" s="451">
        <f t="shared" si="22"/>
        <v>0</v>
      </c>
      <c r="AC34" s="222" t="str">
        <f t="shared" si="23"/>
        <v>-</v>
      </c>
      <c r="AD34" s="191"/>
      <c r="AE34" s="193"/>
    </row>
    <row r="35" spans="1:31" x14ac:dyDescent="0.3">
      <c r="A35" s="190" t="s">
        <v>81</v>
      </c>
      <c r="B35" s="450">
        <v>289855</v>
      </c>
      <c r="C35" s="451">
        <v>248598.84000000003</v>
      </c>
      <c r="D35" s="452">
        <f t="shared" si="14"/>
        <v>-41256.159999999974</v>
      </c>
      <c r="E35" s="220">
        <f t="shared" si="24"/>
        <v>-0.14233378758344681</v>
      </c>
      <c r="F35" s="191"/>
      <c r="G35" s="463">
        <v>289855</v>
      </c>
      <c r="H35" s="464">
        <v>356483.71</v>
      </c>
      <c r="I35" s="452">
        <f t="shared" si="15"/>
        <v>66628.710000000021</v>
      </c>
      <c r="J35" s="221">
        <f t="shared" si="16"/>
        <v>0.2298691069672768</v>
      </c>
      <c r="K35" s="191"/>
      <c r="L35" s="450">
        <v>289855</v>
      </c>
      <c r="M35" s="451">
        <f>349521.17+512277.13-H35-C35</f>
        <v>256715.75</v>
      </c>
      <c r="N35" s="452">
        <f t="shared" si="17"/>
        <v>-33139.25</v>
      </c>
      <c r="O35" s="222">
        <f t="shared" si="18"/>
        <v>-0.11433044108261027</v>
      </c>
      <c r="P35" s="191"/>
      <c r="Q35" s="450">
        <v>289855</v>
      </c>
      <c r="R35" s="450">
        <v>166620.3899999999</v>
      </c>
      <c r="S35" s="452">
        <f t="shared" si="19"/>
        <v>-123234.6100000001</v>
      </c>
      <c r="T35" s="223">
        <f t="shared" si="20"/>
        <v>-0.42515951078987807</v>
      </c>
      <c r="U35" s="191"/>
      <c r="V35" s="450">
        <f t="shared" si="25"/>
        <v>1159420</v>
      </c>
      <c r="W35" s="451">
        <f t="shared" si="26"/>
        <v>1028418.69</v>
      </c>
      <c r="X35" s="452">
        <f t="shared" si="21"/>
        <v>-131001.31000000006</v>
      </c>
      <c r="Y35" s="222">
        <f t="shared" si="27"/>
        <v>-0.11298865812216458</v>
      </c>
      <c r="Z35" s="188"/>
      <c r="AA35" s="450">
        <v>1159420</v>
      </c>
      <c r="AB35" s="451">
        <f t="shared" si="22"/>
        <v>131001.31000000006</v>
      </c>
      <c r="AC35" s="222">
        <f t="shared" si="23"/>
        <v>0.11298865812216458</v>
      </c>
      <c r="AD35" s="191"/>
      <c r="AE35" s="193"/>
    </row>
    <row r="36" spans="1:31" x14ac:dyDescent="0.3">
      <c r="A36" s="190" t="s">
        <v>106</v>
      </c>
      <c r="B36" s="450">
        <v>204579.5</v>
      </c>
      <c r="C36" s="451">
        <v>187227.17</v>
      </c>
      <c r="D36" s="452">
        <f t="shared" si="14"/>
        <v>-17352.329999999987</v>
      </c>
      <c r="E36" s="220">
        <f t="shared" si="24"/>
        <v>-8.4819495599510158E-2</v>
      </c>
      <c r="F36" s="256"/>
      <c r="G36" s="463">
        <v>204579.5</v>
      </c>
      <c r="H36" s="464">
        <v>191386.08</v>
      </c>
      <c r="I36" s="452">
        <f t="shared" si="15"/>
        <v>-13193.420000000013</v>
      </c>
      <c r="J36" s="221">
        <f t="shared" si="16"/>
        <v>-6.4490430370589491E-2</v>
      </c>
      <c r="K36" s="256"/>
      <c r="L36" s="450">
        <v>204579.5</v>
      </c>
      <c r="M36" s="451">
        <f>569145.65-H36-C36</f>
        <v>190532.40000000005</v>
      </c>
      <c r="N36" s="452">
        <f t="shared" si="17"/>
        <v>-14047.099999999948</v>
      </c>
      <c r="O36" s="222">
        <f t="shared" si="18"/>
        <v>-6.8663282489203212E-2</v>
      </c>
      <c r="P36" s="256"/>
      <c r="Q36" s="450">
        <v>204579.5</v>
      </c>
      <c r="R36" s="450">
        <v>195852.44999999998</v>
      </c>
      <c r="S36" s="452">
        <f t="shared" si="19"/>
        <v>-8727.0500000000175</v>
      </c>
      <c r="T36" s="223">
        <f t="shared" si="20"/>
        <v>-4.2658477511187669E-2</v>
      </c>
      <c r="U36" s="256"/>
      <c r="V36" s="450">
        <f t="shared" si="25"/>
        <v>818318</v>
      </c>
      <c r="W36" s="451">
        <f t="shared" si="26"/>
        <v>764998.1</v>
      </c>
      <c r="X36" s="452">
        <f t="shared" si="21"/>
        <v>-53319.900000000023</v>
      </c>
      <c r="Y36" s="222">
        <f t="shared" si="27"/>
        <v>-6.51579214926227E-2</v>
      </c>
      <c r="Z36" s="257"/>
      <c r="AA36" s="450">
        <v>818318</v>
      </c>
      <c r="AB36" s="451">
        <f t="shared" si="22"/>
        <v>53319.900000000023</v>
      </c>
      <c r="AC36" s="222">
        <f t="shared" si="23"/>
        <v>6.51579214926227E-2</v>
      </c>
      <c r="AD36" s="256"/>
      <c r="AE36" s="189"/>
    </row>
    <row r="37" spans="1:31" x14ac:dyDescent="0.3">
      <c r="A37" s="190" t="s">
        <v>80</v>
      </c>
      <c r="B37" s="450">
        <v>400140.25</v>
      </c>
      <c r="C37" s="451">
        <v>360646.97</v>
      </c>
      <c r="D37" s="452">
        <f t="shared" si="14"/>
        <v>-39493.280000000028</v>
      </c>
      <c r="E37" s="220">
        <f t="shared" si="24"/>
        <v>-9.8698593805547005E-2</v>
      </c>
      <c r="F37" s="256"/>
      <c r="G37" s="463">
        <v>266690.25</v>
      </c>
      <c r="H37" s="464">
        <v>303147.56000000006</v>
      </c>
      <c r="I37" s="452">
        <f t="shared" si="15"/>
        <v>36457.310000000056</v>
      </c>
      <c r="J37" s="221">
        <f t="shared" si="16"/>
        <v>0.13670282284410493</v>
      </c>
      <c r="K37" s="256"/>
      <c r="L37" s="485">
        <v>266690.25</v>
      </c>
      <c r="M37" s="451">
        <f>986957.27-H37-C37</f>
        <v>323162.74</v>
      </c>
      <c r="N37" s="452">
        <f t="shared" si="17"/>
        <v>56472.489999999991</v>
      </c>
      <c r="O37" s="222">
        <f t="shared" si="18"/>
        <v>0.21175311058428267</v>
      </c>
      <c r="P37" s="256"/>
      <c r="Q37" s="450">
        <v>266690.25</v>
      </c>
      <c r="R37" s="450">
        <v>418420.56000000006</v>
      </c>
      <c r="S37" s="452">
        <f t="shared" si="19"/>
        <v>151730.31000000006</v>
      </c>
      <c r="T37" s="223">
        <f t="shared" si="20"/>
        <v>0.56893834701493606</v>
      </c>
      <c r="U37" s="256"/>
      <c r="V37" s="450">
        <f t="shared" si="25"/>
        <v>1200211</v>
      </c>
      <c r="W37" s="451">
        <f t="shared" si="26"/>
        <v>1405377.83</v>
      </c>
      <c r="X37" s="452">
        <f t="shared" si="21"/>
        <v>205166.83000000007</v>
      </c>
      <c r="Y37" s="222">
        <f t="shared" si="27"/>
        <v>0.17094230097874463</v>
      </c>
      <c r="Z37" s="257"/>
      <c r="AA37" s="485">
        <v>1200211</v>
      </c>
      <c r="AB37" s="451">
        <f t="shared" si="22"/>
        <v>-205166.83000000007</v>
      </c>
      <c r="AC37" s="222">
        <f t="shared" si="23"/>
        <v>-0.17094230097874463</v>
      </c>
      <c r="AD37" s="256"/>
      <c r="AE37" s="189"/>
    </row>
    <row r="38" spans="1:31" x14ac:dyDescent="0.3">
      <c r="A38" s="190" t="s">
        <v>130</v>
      </c>
      <c r="B38" s="450">
        <v>339535.5</v>
      </c>
      <c r="C38" s="451">
        <v>306360</v>
      </c>
      <c r="D38" s="452">
        <f t="shared" si="14"/>
        <v>-33175.5</v>
      </c>
      <c r="E38" s="220">
        <f t="shared" si="24"/>
        <v>-9.7708487035965311E-2</v>
      </c>
      <c r="F38" s="191"/>
      <c r="G38" s="463">
        <v>339535.5</v>
      </c>
      <c r="H38" s="464">
        <v>310800</v>
      </c>
      <c r="I38" s="452">
        <f t="shared" si="15"/>
        <v>-28735.5</v>
      </c>
      <c r="J38" s="221">
        <f t="shared" si="16"/>
        <v>-8.4631798442283648E-2</v>
      </c>
      <c r="K38" s="191"/>
      <c r="L38" s="450">
        <v>339535.5</v>
      </c>
      <c r="M38" s="451">
        <f>924852-H38-C38</f>
        <v>307692</v>
      </c>
      <c r="N38" s="452">
        <f t="shared" si="17"/>
        <v>-31843.5</v>
      </c>
      <c r="O38" s="222">
        <f t="shared" si="18"/>
        <v>-9.3785480457860809E-2</v>
      </c>
      <c r="P38" s="191"/>
      <c r="Q38" s="450">
        <v>339535.5</v>
      </c>
      <c r="R38" s="450">
        <v>313464</v>
      </c>
      <c r="S38" s="452">
        <f t="shared" si="19"/>
        <v>-26071.5</v>
      </c>
      <c r="T38" s="223">
        <f t="shared" si="20"/>
        <v>-7.6785785286074645E-2</v>
      </c>
      <c r="U38" s="191"/>
      <c r="V38" s="450">
        <f t="shared" si="25"/>
        <v>1358142</v>
      </c>
      <c r="W38" s="451">
        <f t="shared" si="26"/>
        <v>1238316</v>
      </c>
      <c r="X38" s="452">
        <f t="shared" si="21"/>
        <v>-119826</v>
      </c>
      <c r="Y38" s="222">
        <f t="shared" si="27"/>
        <v>-8.8227887805546107E-2</v>
      </c>
      <c r="Z38" s="188"/>
      <c r="AA38" s="450">
        <v>1358142</v>
      </c>
      <c r="AB38" s="451">
        <f t="shared" si="22"/>
        <v>119826</v>
      </c>
      <c r="AC38" s="222">
        <f t="shared" si="23"/>
        <v>8.8227887805546107E-2</v>
      </c>
      <c r="AD38" s="191"/>
      <c r="AE38" s="193"/>
    </row>
    <row r="39" spans="1:31" x14ac:dyDescent="0.3">
      <c r="A39" s="190" t="s">
        <v>129</v>
      </c>
      <c r="B39" s="450">
        <v>0</v>
      </c>
      <c r="C39" s="451">
        <v>0</v>
      </c>
      <c r="D39" s="452">
        <f t="shared" si="14"/>
        <v>0</v>
      </c>
      <c r="E39" s="220" t="str">
        <f t="shared" si="24"/>
        <v>-</v>
      </c>
      <c r="F39" s="191"/>
      <c r="G39" s="463">
        <v>0</v>
      </c>
      <c r="H39" s="464">
        <v>0</v>
      </c>
      <c r="I39" s="452">
        <f t="shared" si="15"/>
        <v>0</v>
      </c>
      <c r="J39" s="221" t="str">
        <f t="shared" si="16"/>
        <v>-</v>
      </c>
      <c r="K39" s="191"/>
      <c r="L39" s="450">
        <v>0</v>
      </c>
      <c r="M39" s="451">
        <v>0</v>
      </c>
      <c r="N39" s="959">
        <f t="shared" si="17"/>
        <v>0</v>
      </c>
      <c r="O39" s="222" t="str">
        <f t="shared" si="18"/>
        <v>-</v>
      </c>
      <c r="P39" s="191"/>
      <c r="Q39" s="450">
        <v>0</v>
      </c>
      <c r="R39" s="450">
        <v>0</v>
      </c>
      <c r="S39" s="452">
        <f t="shared" si="19"/>
        <v>0</v>
      </c>
      <c r="T39" s="223" t="str">
        <f t="shared" si="20"/>
        <v>-</v>
      </c>
      <c r="U39" s="191"/>
      <c r="V39" s="450">
        <f t="shared" si="25"/>
        <v>0</v>
      </c>
      <c r="W39" s="451">
        <f t="shared" si="26"/>
        <v>0</v>
      </c>
      <c r="X39" s="452">
        <f t="shared" si="21"/>
        <v>0</v>
      </c>
      <c r="Y39" s="222" t="str">
        <f t="shared" si="27"/>
        <v>-</v>
      </c>
      <c r="Z39" s="188"/>
      <c r="AA39" s="450">
        <v>0</v>
      </c>
      <c r="AB39" s="451">
        <f t="shared" si="22"/>
        <v>0</v>
      </c>
      <c r="AC39" s="222" t="str">
        <f t="shared" si="23"/>
        <v>-</v>
      </c>
      <c r="AD39" s="191"/>
      <c r="AE39" s="193"/>
    </row>
    <row r="40" spans="1:31" x14ac:dyDescent="0.3">
      <c r="A40" s="258" t="s">
        <v>40</v>
      </c>
      <c r="B40" s="477">
        <v>35875</v>
      </c>
      <c r="C40" s="478">
        <v>28861.03</v>
      </c>
      <c r="D40" s="452">
        <f t="shared" si="14"/>
        <v>-7013.9700000000012</v>
      </c>
      <c r="E40" s="259">
        <f t="shared" si="24"/>
        <v>-0.19551135888501744</v>
      </c>
      <c r="F40" s="184"/>
      <c r="G40" s="479">
        <v>35875</v>
      </c>
      <c r="H40" s="480">
        <v>52253.81</v>
      </c>
      <c r="I40" s="452">
        <f t="shared" si="15"/>
        <v>16378.809999999998</v>
      </c>
      <c r="J40" s="260">
        <f t="shared" si="16"/>
        <v>0.45655219512195117</v>
      </c>
      <c r="K40" s="184"/>
      <c r="L40" s="477">
        <v>35875</v>
      </c>
      <c r="M40" s="478">
        <f>165000.89-H40-C40</f>
        <v>83886.050000000017</v>
      </c>
      <c r="N40" s="959">
        <f t="shared" si="17"/>
        <v>48011.050000000017</v>
      </c>
      <c r="O40" s="261">
        <f t="shared" si="18"/>
        <v>1.3382871080139378</v>
      </c>
      <c r="P40" s="184"/>
      <c r="Q40" s="450">
        <v>35875</v>
      </c>
      <c r="R40" s="450">
        <v>61478.449999999983</v>
      </c>
      <c r="S40" s="452">
        <f t="shared" si="19"/>
        <v>25603.449999999983</v>
      </c>
      <c r="T40" s="234">
        <f t="shared" si="20"/>
        <v>0.71368501742160229</v>
      </c>
      <c r="U40" s="184"/>
      <c r="V40" s="450">
        <f t="shared" si="25"/>
        <v>143500</v>
      </c>
      <c r="W40" s="451">
        <f t="shared" si="26"/>
        <v>226479.34</v>
      </c>
      <c r="X40" s="452">
        <f t="shared" si="21"/>
        <v>82979.34</v>
      </c>
      <c r="Y40" s="261">
        <f t="shared" si="27"/>
        <v>0.57825324041811843</v>
      </c>
      <c r="Z40" s="188"/>
      <c r="AA40" s="477">
        <v>143500</v>
      </c>
      <c r="AB40" s="478">
        <f t="shared" si="22"/>
        <v>-82979.34</v>
      </c>
      <c r="AC40" s="261">
        <f t="shared" si="23"/>
        <v>-0.57825324041811843</v>
      </c>
      <c r="AD40" s="184"/>
      <c r="AE40" s="193"/>
    </row>
    <row r="41" spans="1:31" x14ac:dyDescent="0.3">
      <c r="A41" s="199" t="s">
        <v>83</v>
      </c>
      <c r="B41" s="469">
        <f>SUM(B33:B40)</f>
        <v>6314993.25</v>
      </c>
      <c r="C41" s="470">
        <f>SUM(C33:C40)</f>
        <v>5732327.21</v>
      </c>
      <c r="D41" s="470">
        <f>SUM(D33:D40)</f>
        <v>-582666.0399999998</v>
      </c>
      <c r="E41" s="237">
        <f t="shared" si="24"/>
        <v>-9.2267088329825178E-2</v>
      </c>
      <c r="F41" s="191"/>
      <c r="G41" s="469">
        <f>SUM(G33:G40)</f>
        <v>6181543.25</v>
      </c>
      <c r="H41" s="470">
        <f>SUM(H33:H40)</f>
        <v>6000090.5200000005</v>
      </c>
      <c r="I41" s="470">
        <f>SUM(I33:I40)</f>
        <v>-181452.7299999996</v>
      </c>
      <c r="J41" s="237">
        <f t="shared" si="16"/>
        <v>-2.9353952995475621E-2</v>
      </c>
      <c r="K41" s="191"/>
      <c r="L41" s="469">
        <f>SUM(L33:L40)</f>
        <v>6181543.25</v>
      </c>
      <c r="M41" s="470">
        <f>SUM(M33:M40)</f>
        <v>6003936.2999999989</v>
      </c>
      <c r="N41" s="470">
        <f>SUM(N33:N40)</f>
        <v>-177606.95000000147</v>
      </c>
      <c r="O41" s="238">
        <f t="shared" si="18"/>
        <v>-2.87318138557069E-2</v>
      </c>
      <c r="P41" s="191"/>
      <c r="Q41" s="469">
        <f>SUM(Q33:Q40)</f>
        <v>6181543.25</v>
      </c>
      <c r="R41" s="470">
        <f>SUM(R33:R40)</f>
        <v>7756314.620000002</v>
      </c>
      <c r="S41" s="470">
        <f>SUM(S33:S40)</f>
        <v>1574771.3700000022</v>
      </c>
      <c r="T41" s="238">
        <f t="shared" si="20"/>
        <v>0.25475375748604562</v>
      </c>
      <c r="U41" s="191"/>
      <c r="V41" s="469">
        <f>SUM(V33:V40)</f>
        <v>24859623</v>
      </c>
      <c r="W41" s="470">
        <f>SUM(W33:W40)</f>
        <v>25492668.650000002</v>
      </c>
      <c r="X41" s="470">
        <f>SUM(X33:X40)</f>
        <v>633045.6500000013</v>
      </c>
      <c r="Y41" s="238">
        <f t="shared" si="27"/>
        <v>2.5464812961966531E-2</v>
      </c>
      <c r="Z41" s="188"/>
      <c r="AA41" s="471">
        <f>SUM(AA33:AA40)</f>
        <v>24859623</v>
      </c>
      <c r="AB41" s="472">
        <f>SUM(AB33:AB40)</f>
        <v>-633045.6500000013</v>
      </c>
      <c r="AC41" s="264">
        <f t="shared" si="23"/>
        <v>-2.5464812961966531E-2</v>
      </c>
      <c r="AD41" s="191"/>
      <c r="AE41" s="209"/>
    </row>
    <row r="42" spans="1:31" x14ac:dyDescent="0.3">
      <c r="A42" s="242"/>
      <c r="B42" s="459"/>
      <c r="C42" s="460"/>
      <c r="D42" s="460"/>
      <c r="E42" s="213"/>
      <c r="F42" s="184"/>
      <c r="G42" s="461"/>
      <c r="H42" s="462"/>
      <c r="I42" s="462"/>
      <c r="J42" s="216"/>
      <c r="K42" s="184"/>
      <c r="L42" s="990"/>
      <c r="M42" s="460"/>
      <c r="N42" s="991"/>
      <c r="O42" s="217"/>
      <c r="P42" s="184"/>
      <c r="Q42" s="461"/>
      <c r="R42" s="462"/>
      <c r="S42" s="462"/>
      <c r="T42" s="265"/>
      <c r="U42" s="184"/>
      <c r="V42" s="459"/>
      <c r="W42" s="460"/>
      <c r="X42" s="460"/>
      <c r="Y42" s="217"/>
      <c r="Z42" s="188"/>
      <c r="AA42" s="459"/>
      <c r="AB42" s="460"/>
      <c r="AC42" s="217"/>
      <c r="AD42" s="184"/>
      <c r="AE42" s="189"/>
    </row>
    <row r="43" spans="1:31" x14ac:dyDescent="0.3">
      <c r="A43" s="172" t="s">
        <v>84</v>
      </c>
      <c r="B43" s="481"/>
      <c r="C43" s="482"/>
      <c r="D43" s="482"/>
      <c r="E43" s="268"/>
      <c r="F43" s="175"/>
      <c r="G43" s="483"/>
      <c r="H43" s="484"/>
      <c r="I43" s="484"/>
      <c r="J43" s="271"/>
      <c r="K43" s="175"/>
      <c r="L43" s="992"/>
      <c r="M43" s="993"/>
      <c r="N43" s="993"/>
      <c r="O43" s="272"/>
      <c r="P43" s="175"/>
      <c r="Q43" s="483"/>
      <c r="R43" s="484"/>
      <c r="S43" s="484"/>
      <c r="T43" s="273"/>
      <c r="U43" s="175"/>
      <c r="V43" s="481"/>
      <c r="W43" s="482"/>
      <c r="X43" s="451"/>
      <c r="Y43" s="225"/>
      <c r="Z43" s="179"/>
      <c r="AA43" s="481"/>
      <c r="AB43" s="451"/>
      <c r="AC43" s="225"/>
      <c r="AD43" s="175"/>
      <c r="AE43" s="189"/>
    </row>
    <row r="44" spans="1:31" x14ac:dyDescent="0.3">
      <c r="A44" s="190" t="s">
        <v>85</v>
      </c>
      <c r="B44" s="450">
        <v>6750</v>
      </c>
      <c r="C44" s="451">
        <v>2369.66</v>
      </c>
      <c r="D44" s="452">
        <f t="shared" ref="D44:D75" si="28">C44-B44</f>
        <v>-4380.34</v>
      </c>
      <c r="E44" s="220">
        <f t="shared" ref="E44:E76" si="29">IF(ISERROR(D44/B44),"-",D44/B44)</f>
        <v>-0.64893925925925933</v>
      </c>
      <c r="F44" s="191"/>
      <c r="G44" s="463">
        <v>6750</v>
      </c>
      <c r="H44" s="464">
        <v>5080.7700000000004</v>
      </c>
      <c r="I44" s="452">
        <f t="shared" ref="I44:I75" si="30">H44-G44</f>
        <v>-1669.2299999999996</v>
      </c>
      <c r="J44" s="221">
        <f t="shared" ref="J44:J75" si="31">IF(ISERROR(I44/G44),"-",I44/G44)</f>
        <v>-0.24729333333333328</v>
      </c>
      <c r="K44" s="191"/>
      <c r="L44" s="642">
        <v>6750</v>
      </c>
      <c r="M44" s="451">
        <f>10978.26-H44-C44</f>
        <v>3527.83</v>
      </c>
      <c r="N44" s="452">
        <f t="shared" ref="N44:N75" si="32">M44-L44</f>
        <v>-3222.17</v>
      </c>
      <c r="O44" s="222">
        <f t="shared" ref="O44:O73" si="33">IF(ISERROR(N44/L44),"-",N44/L44)</f>
        <v>-0.47735851851851852</v>
      </c>
      <c r="P44" s="191"/>
      <c r="Q44" s="450">
        <v>6750</v>
      </c>
      <c r="R44" s="450">
        <v>2991.7700000000004</v>
      </c>
      <c r="S44" s="452">
        <f t="shared" ref="S44:S75" si="34">R44-Q44</f>
        <v>-3758.2299999999996</v>
      </c>
      <c r="T44" s="223">
        <f t="shared" ref="T44:T73" si="35">IF(ISERROR(S44/Q44),"-",S44/Q44)</f>
        <v>-0.55677481481481472</v>
      </c>
      <c r="U44" s="191"/>
      <c r="V44" s="450">
        <f>B44+G44+L44+Q44</f>
        <v>27000</v>
      </c>
      <c r="W44" s="451">
        <f>C44+H44+M44+R44</f>
        <v>13970.03</v>
      </c>
      <c r="X44" s="452">
        <f t="shared" ref="X44:X75" si="36">W44-V44</f>
        <v>-13029.97</v>
      </c>
      <c r="Y44" s="222">
        <f t="shared" ref="Y44:Y75" si="37">IF(ISERROR(X44/V44),"-",X44/V44)</f>
        <v>-0.48259148148148145</v>
      </c>
      <c r="Z44" s="188"/>
      <c r="AA44" s="450">
        <v>27000</v>
      </c>
      <c r="AB44" s="451">
        <f t="shared" ref="AB44:AB75" si="38">AA44-W44</f>
        <v>13029.97</v>
      </c>
      <c r="AC44" s="222">
        <f t="shared" ref="AC44:AC76" si="39">IF(ISERROR(AB44/AA44),"-",AB44/AA44)</f>
        <v>0.48259148148148145</v>
      </c>
      <c r="AD44" s="191"/>
      <c r="AE44" s="274"/>
    </row>
    <row r="45" spans="1:31" x14ac:dyDescent="0.3">
      <c r="A45" s="190" t="s">
        <v>128</v>
      </c>
      <c r="B45" s="450">
        <v>29570.25</v>
      </c>
      <c r="C45" s="451">
        <v>2688.2</v>
      </c>
      <c r="D45" s="452">
        <f t="shared" si="28"/>
        <v>-26882.05</v>
      </c>
      <c r="E45" s="220">
        <f t="shared" si="29"/>
        <v>-0.90909106280805874</v>
      </c>
      <c r="F45" s="256"/>
      <c r="G45" s="463">
        <v>29570.25</v>
      </c>
      <c r="H45" s="464">
        <v>0</v>
      </c>
      <c r="I45" s="452">
        <f t="shared" si="30"/>
        <v>-29570.25</v>
      </c>
      <c r="J45" s="221">
        <f t="shared" si="31"/>
        <v>-1</v>
      </c>
      <c r="K45" s="256"/>
      <c r="L45" s="642">
        <v>29570.25</v>
      </c>
      <c r="M45" s="451">
        <f>2688.2-H45</f>
        <v>2688.2</v>
      </c>
      <c r="N45" s="452">
        <f t="shared" si="32"/>
        <v>-26882.05</v>
      </c>
      <c r="O45" s="222">
        <f t="shared" si="33"/>
        <v>-0.90909106280805874</v>
      </c>
      <c r="P45" s="256"/>
      <c r="Q45" s="450">
        <v>29570.25</v>
      </c>
      <c r="R45" s="450">
        <v>-2688.2</v>
      </c>
      <c r="S45" s="452">
        <f t="shared" si="34"/>
        <v>-32258.45</v>
      </c>
      <c r="T45" s="223">
        <f t="shared" si="35"/>
        <v>-1.0909089371919412</v>
      </c>
      <c r="U45" s="256"/>
      <c r="V45" s="450">
        <f t="shared" ref="V45:V75" si="40">B45+G45+L45+Q45</f>
        <v>118281</v>
      </c>
      <c r="W45" s="451">
        <f t="shared" ref="W45:W75" si="41">C45+H45+M45+R45</f>
        <v>2688.2</v>
      </c>
      <c r="X45" s="452">
        <f t="shared" si="36"/>
        <v>-115592.8</v>
      </c>
      <c r="Y45" s="222">
        <f t="shared" si="37"/>
        <v>-0.97727276570201471</v>
      </c>
      <c r="Z45" s="257"/>
      <c r="AA45" s="450">
        <v>118281</v>
      </c>
      <c r="AB45" s="451">
        <f t="shared" si="38"/>
        <v>115592.8</v>
      </c>
      <c r="AC45" s="222">
        <f t="shared" si="39"/>
        <v>0.97727276570201471</v>
      </c>
      <c r="AD45" s="256"/>
      <c r="AE45" s="189"/>
    </row>
    <row r="46" spans="1:31" x14ac:dyDescent="0.3">
      <c r="A46" s="190" t="s">
        <v>127</v>
      </c>
      <c r="B46" s="450">
        <v>327284.25</v>
      </c>
      <c r="C46" s="451">
        <v>0</v>
      </c>
      <c r="D46" s="452">
        <f t="shared" si="28"/>
        <v>-327284.25</v>
      </c>
      <c r="E46" s="220">
        <f t="shared" si="29"/>
        <v>-1</v>
      </c>
      <c r="F46" s="256"/>
      <c r="G46" s="463">
        <v>327284.25</v>
      </c>
      <c r="H46" s="464">
        <v>0</v>
      </c>
      <c r="I46" s="452">
        <f t="shared" si="30"/>
        <v>-327284.25</v>
      </c>
      <c r="J46" s="221">
        <f t="shared" si="31"/>
        <v>-1</v>
      </c>
      <c r="K46" s="256"/>
      <c r="L46" s="642">
        <v>327284.25</v>
      </c>
      <c r="M46" s="451">
        <v>0</v>
      </c>
      <c r="N46" s="452">
        <f t="shared" si="32"/>
        <v>-327284.25</v>
      </c>
      <c r="O46" s="222">
        <f t="shared" si="33"/>
        <v>-1</v>
      </c>
      <c r="P46" s="256"/>
      <c r="Q46" s="450">
        <v>327284.25</v>
      </c>
      <c r="R46" s="450">
        <v>0</v>
      </c>
      <c r="S46" s="452">
        <f t="shared" si="34"/>
        <v>-327284.25</v>
      </c>
      <c r="T46" s="223">
        <f t="shared" si="35"/>
        <v>-1</v>
      </c>
      <c r="U46" s="256"/>
      <c r="V46" s="450">
        <f t="shared" si="40"/>
        <v>1309137</v>
      </c>
      <c r="W46" s="451">
        <f t="shared" si="41"/>
        <v>0</v>
      </c>
      <c r="X46" s="452">
        <f t="shared" si="36"/>
        <v>-1309137</v>
      </c>
      <c r="Y46" s="222">
        <f t="shared" si="37"/>
        <v>-1</v>
      </c>
      <c r="Z46" s="257"/>
      <c r="AA46" s="450">
        <v>1309137</v>
      </c>
      <c r="AB46" s="451">
        <f t="shared" si="38"/>
        <v>1309137</v>
      </c>
      <c r="AC46" s="222">
        <f t="shared" si="39"/>
        <v>1</v>
      </c>
      <c r="AD46" s="256"/>
      <c r="AE46" s="189"/>
    </row>
    <row r="47" spans="1:31" x14ac:dyDescent="0.3">
      <c r="A47" s="190" t="s">
        <v>86</v>
      </c>
      <c r="B47" s="450">
        <v>0</v>
      </c>
      <c r="C47" s="450">
        <v>0</v>
      </c>
      <c r="D47" s="452">
        <f t="shared" si="28"/>
        <v>0</v>
      </c>
      <c r="E47" s="220" t="str">
        <f t="shared" si="29"/>
        <v>-</v>
      </c>
      <c r="F47" s="256"/>
      <c r="G47" s="463">
        <v>0</v>
      </c>
      <c r="H47" s="463">
        <v>0</v>
      </c>
      <c r="I47" s="452">
        <f t="shared" si="30"/>
        <v>0</v>
      </c>
      <c r="J47" s="221" t="str">
        <f t="shared" si="31"/>
        <v>-</v>
      </c>
      <c r="K47" s="256"/>
      <c r="L47" s="642">
        <v>0</v>
      </c>
      <c r="M47" s="451">
        <v>0</v>
      </c>
      <c r="N47" s="452">
        <f t="shared" si="32"/>
        <v>0</v>
      </c>
      <c r="O47" s="222" t="str">
        <f t="shared" si="33"/>
        <v>-</v>
      </c>
      <c r="P47" s="256"/>
      <c r="Q47" s="450">
        <v>0</v>
      </c>
      <c r="R47" s="450">
        <v>0</v>
      </c>
      <c r="S47" s="452">
        <f t="shared" si="34"/>
        <v>0</v>
      </c>
      <c r="T47" s="223" t="str">
        <f t="shared" si="35"/>
        <v>-</v>
      </c>
      <c r="U47" s="256"/>
      <c r="V47" s="450">
        <f t="shared" si="40"/>
        <v>0</v>
      </c>
      <c r="W47" s="451">
        <f t="shared" si="41"/>
        <v>0</v>
      </c>
      <c r="X47" s="452">
        <f t="shared" si="36"/>
        <v>0</v>
      </c>
      <c r="Y47" s="222" t="str">
        <f t="shared" si="37"/>
        <v>-</v>
      </c>
      <c r="Z47" s="257"/>
      <c r="AA47" s="450">
        <v>0</v>
      </c>
      <c r="AB47" s="451">
        <f t="shared" si="38"/>
        <v>0</v>
      </c>
      <c r="AC47" s="222" t="str">
        <f t="shared" si="39"/>
        <v>-</v>
      </c>
      <c r="AD47" s="256"/>
      <c r="AE47" s="274"/>
    </row>
    <row r="48" spans="1:31" x14ac:dyDescent="0.3">
      <c r="A48" s="190" t="s">
        <v>87</v>
      </c>
      <c r="B48" s="450">
        <v>0</v>
      </c>
      <c r="C48" s="450">
        <v>0</v>
      </c>
      <c r="D48" s="452">
        <f t="shared" si="28"/>
        <v>0</v>
      </c>
      <c r="E48" s="220" t="str">
        <f t="shared" si="29"/>
        <v>-</v>
      </c>
      <c r="F48" s="256"/>
      <c r="G48" s="463">
        <v>0</v>
      </c>
      <c r="H48" s="463">
        <v>0</v>
      </c>
      <c r="I48" s="452">
        <f t="shared" si="30"/>
        <v>0</v>
      </c>
      <c r="J48" s="221" t="str">
        <f t="shared" si="31"/>
        <v>-</v>
      </c>
      <c r="K48" s="256"/>
      <c r="L48" s="642">
        <v>0</v>
      </c>
      <c r="M48" s="451">
        <v>0</v>
      </c>
      <c r="N48" s="452">
        <f t="shared" si="32"/>
        <v>0</v>
      </c>
      <c r="O48" s="222" t="str">
        <f t="shared" si="33"/>
        <v>-</v>
      </c>
      <c r="P48" s="256"/>
      <c r="Q48" s="450">
        <v>0</v>
      </c>
      <c r="R48" s="450">
        <v>0</v>
      </c>
      <c r="S48" s="452">
        <f t="shared" si="34"/>
        <v>0</v>
      </c>
      <c r="T48" s="223" t="str">
        <f t="shared" si="35"/>
        <v>-</v>
      </c>
      <c r="U48" s="256"/>
      <c r="V48" s="450">
        <f t="shared" si="40"/>
        <v>0</v>
      </c>
      <c r="W48" s="451">
        <f t="shared" si="41"/>
        <v>0</v>
      </c>
      <c r="X48" s="452">
        <f t="shared" si="36"/>
        <v>0</v>
      </c>
      <c r="Y48" s="222" t="str">
        <f t="shared" si="37"/>
        <v>-</v>
      </c>
      <c r="Z48" s="257"/>
      <c r="AA48" s="450">
        <v>0</v>
      </c>
      <c r="AB48" s="451">
        <f t="shared" si="38"/>
        <v>0</v>
      </c>
      <c r="AC48" s="222" t="str">
        <f t="shared" si="39"/>
        <v>-</v>
      </c>
      <c r="AD48" s="256"/>
      <c r="AE48" s="189"/>
    </row>
    <row r="49" spans="1:31" x14ac:dyDescent="0.3">
      <c r="A49" s="190" t="s">
        <v>88</v>
      </c>
      <c r="B49" s="450">
        <v>80581</v>
      </c>
      <c r="C49" s="451">
        <v>86868.27</v>
      </c>
      <c r="D49" s="452">
        <f t="shared" si="28"/>
        <v>6287.2700000000041</v>
      </c>
      <c r="E49" s="220">
        <f t="shared" si="29"/>
        <v>7.8024224072672274E-2</v>
      </c>
      <c r="F49" s="191"/>
      <c r="G49" s="463">
        <v>80581</v>
      </c>
      <c r="H49" s="464">
        <v>97868.04</v>
      </c>
      <c r="I49" s="452">
        <f t="shared" si="30"/>
        <v>17287.039999999994</v>
      </c>
      <c r="J49" s="221">
        <f t="shared" si="31"/>
        <v>0.21452997604894447</v>
      </c>
      <c r="K49" s="191"/>
      <c r="L49" s="642">
        <v>80581</v>
      </c>
      <c r="M49" s="451">
        <f>276704.4-H49-C49</f>
        <v>91968.09000000004</v>
      </c>
      <c r="N49" s="452">
        <f t="shared" si="32"/>
        <v>11387.09000000004</v>
      </c>
      <c r="O49" s="222">
        <f t="shared" si="33"/>
        <v>0.14131234410096724</v>
      </c>
      <c r="P49" s="191"/>
      <c r="Q49" s="450">
        <v>80581</v>
      </c>
      <c r="R49" s="450">
        <v>100474.86</v>
      </c>
      <c r="S49" s="452">
        <f t="shared" si="34"/>
        <v>19893.86</v>
      </c>
      <c r="T49" s="223">
        <f t="shared" si="35"/>
        <v>0.24688028195232128</v>
      </c>
      <c r="U49" s="191"/>
      <c r="V49" s="450">
        <f t="shared" si="40"/>
        <v>322324</v>
      </c>
      <c r="W49" s="451">
        <f t="shared" si="41"/>
        <v>377179.26</v>
      </c>
      <c r="X49" s="452">
        <f t="shared" si="36"/>
        <v>54855.260000000009</v>
      </c>
      <c r="Y49" s="222">
        <f t="shared" si="37"/>
        <v>0.17018670654372622</v>
      </c>
      <c r="Z49" s="188"/>
      <c r="AA49" s="450">
        <v>322324</v>
      </c>
      <c r="AB49" s="451">
        <f t="shared" si="38"/>
        <v>-54855.260000000009</v>
      </c>
      <c r="AC49" s="222">
        <f t="shared" si="39"/>
        <v>-0.17018670654372622</v>
      </c>
      <c r="AD49" s="191"/>
      <c r="AE49" s="274"/>
    </row>
    <row r="50" spans="1:31" x14ac:dyDescent="0.3">
      <c r="A50" s="190" t="s">
        <v>89</v>
      </c>
      <c r="B50" s="450">
        <v>172602.5</v>
      </c>
      <c r="C50" s="451">
        <v>163639.92000000001</v>
      </c>
      <c r="D50" s="452">
        <f t="shared" si="28"/>
        <v>-8962.5799999999872</v>
      </c>
      <c r="E50" s="220">
        <f t="shared" si="29"/>
        <v>-5.1926130849784834E-2</v>
      </c>
      <c r="F50" s="191"/>
      <c r="G50" s="463">
        <v>172602.5</v>
      </c>
      <c r="H50" s="464">
        <v>110035.15</v>
      </c>
      <c r="I50" s="452">
        <f t="shared" si="30"/>
        <v>-62567.350000000006</v>
      </c>
      <c r="J50" s="221">
        <f t="shared" si="31"/>
        <v>-0.36249388044784986</v>
      </c>
      <c r="K50" s="191"/>
      <c r="L50" s="642">
        <v>172602.5</v>
      </c>
      <c r="M50" s="451">
        <f>523405.22-H50-C50</f>
        <v>249730.14999999994</v>
      </c>
      <c r="N50" s="452">
        <f t="shared" si="32"/>
        <v>77127.649999999936</v>
      </c>
      <c r="O50" s="222">
        <f t="shared" si="33"/>
        <v>0.44685129126171369</v>
      </c>
      <c r="P50" s="191"/>
      <c r="Q50" s="450">
        <v>172602.5</v>
      </c>
      <c r="R50" s="450">
        <v>179421.22</v>
      </c>
      <c r="S50" s="452">
        <f t="shared" si="34"/>
        <v>6818.7200000000012</v>
      </c>
      <c r="T50" s="223">
        <f t="shared" si="35"/>
        <v>3.9505337408206727E-2</v>
      </c>
      <c r="U50" s="191"/>
      <c r="V50" s="450">
        <f t="shared" si="40"/>
        <v>690410</v>
      </c>
      <c r="W50" s="451">
        <f t="shared" si="41"/>
        <v>702826.44</v>
      </c>
      <c r="X50" s="452">
        <f t="shared" si="36"/>
        <v>12416.439999999944</v>
      </c>
      <c r="Y50" s="881">
        <f t="shared" si="37"/>
        <v>1.7984154343071428E-2</v>
      </c>
      <c r="Z50" s="882"/>
      <c r="AA50" s="450">
        <v>690410</v>
      </c>
      <c r="AB50" s="451">
        <f t="shared" si="38"/>
        <v>-12416.439999999944</v>
      </c>
      <c r="AC50" s="222">
        <f t="shared" si="39"/>
        <v>-1.7984154343071428E-2</v>
      </c>
      <c r="AD50" s="191"/>
      <c r="AE50" s="274"/>
    </row>
    <row r="51" spans="1:31" x14ac:dyDescent="0.3">
      <c r="A51" s="190" t="s">
        <v>113</v>
      </c>
      <c r="B51" s="450">
        <v>0</v>
      </c>
      <c r="C51" s="450">
        <v>0</v>
      </c>
      <c r="D51" s="452">
        <f t="shared" si="28"/>
        <v>0</v>
      </c>
      <c r="E51" s="220" t="str">
        <f t="shared" si="29"/>
        <v>-</v>
      </c>
      <c r="F51" s="191"/>
      <c r="G51" s="463">
        <v>0</v>
      </c>
      <c r="H51" s="463">
        <v>0</v>
      </c>
      <c r="I51" s="452">
        <f t="shared" si="30"/>
        <v>0</v>
      </c>
      <c r="J51" s="221" t="str">
        <f t="shared" si="31"/>
        <v>-</v>
      </c>
      <c r="K51" s="191"/>
      <c r="L51" s="642">
        <v>0</v>
      </c>
      <c r="M51" s="451">
        <v>0</v>
      </c>
      <c r="N51" s="452">
        <f t="shared" si="32"/>
        <v>0</v>
      </c>
      <c r="O51" s="222" t="str">
        <f t="shared" si="33"/>
        <v>-</v>
      </c>
      <c r="P51" s="191"/>
      <c r="Q51" s="450">
        <v>0</v>
      </c>
      <c r="R51" s="450">
        <v>0</v>
      </c>
      <c r="S51" s="452">
        <f t="shared" si="34"/>
        <v>0</v>
      </c>
      <c r="T51" s="223" t="str">
        <f t="shared" si="35"/>
        <v>-</v>
      </c>
      <c r="U51" s="191"/>
      <c r="V51" s="450">
        <f t="shared" si="40"/>
        <v>0</v>
      </c>
      <c r="W51" s="451">
        <f t="shared" si="41"/>
        <v>0</v>
      </c>
      <c r="X51" s="452">
        <f t="shared" si="36"/>
        <v>0</v>
      </c>
      <c r="Y51" s="881"/>
      <c r="Z51" s="882"/>
      <c r="AA51" s="450"/>
      <c r="AB51" s="451"/>
      <c r="AC51" s="222"/>
      <c r="AD51" s="191"/>
      <c r="AE51" s="274"/>
    </row>
    <row r="52" spans="1:31" x14ac:dyDescent="0.3">
      <c r="A52" s="190" t="s">
        <v>126</v>
      </c>
      <c r="B52" s="450">
        <v>0</v>
      </c>
      <c r="C52" s="450">
        <v>0</v>
      </c>
      <c r="D52" s="452">
        <f t="shared" si="28"/>
        <v>0</v>
      </c>
      <c r="E52" s="220" t="str">
        <f t="shared" si="29"/>
        <v>-</v>
      </c>
      <c r="F52" s="256"/>
      <c r="G52" s="463">
        <v>0</v>
      </c>
      <c r="H52" s="463">
        <v>0</v>
      </c>
      <c r="I52" s="452">
        <f t="shared" si="30"/>
        <v>0</v>
      </c>
      <c r="J52" s="221" t="str">
        <f t="shared" si="31"/>
        <v>-</v>
      </c>
      <c r="K52" s="256"/>
      <c r="L52" s="642">
        <v>0</v>
      </c>
      <c r="M52" s="451">
        <v>0</v>
      </c>
      <c r="N52" s="452">
        <f t="shared" si="32"/>
        <v>0</v>
      </c>
      <c r="O52" s="222" t="str">
        <f t="shared" si="33"/>
        <v>-</v>
      </c>
      <c r="P52" s="256"/>
      <c r="Q52" s="450">
        <v>0</v>
      </c>
      <c r="R52" s="450">
        <v>0</v>
      </c>
      <c r="S52" s="452">
        <f t="shared" si="34"/>
        <v>0</v>
      </c>
      <c r="T52" s="223" t="str">
        <f t="shared" si="35"/>
        <v>-</v>
      </c>
      <c r="U52" s="256"/>
      <c r="V52" s="450">
        <f t="shared" si="40"/>
        <v>0</v>
      </c>
      <c r="W52" s="451">
        <f t="shared" si="41"/>
        <v>0</v>
      </c>
      <c r="X52" s="452">
        <f t="shared" si="36"/>
        <v>0</v>
      </c>
      <c r="Y52" s="881" t="str">
        <f t="shared" si="37"/>
        <v>-</v>
      </c>
      <c r="Z52" s="883"/>
      <c r="AA52" s="450">
        <v>0</v>
      </c>
      <c r="AB52" s="451">
        <f t="shared" si="38"/>
        <v>0</v>
      </c>
      <c r="AC52" s="222" t="str">
        <f t="shared" si="39"/>
        <v>-</v>
      </c>
      <c r="AD52" s="256"/>
      <c r="AE52" s="189"/>
    </row>
    <row r="53" spans="1:31" x14ac:dyDescent="0.3">
      <c r="A53" s="190" t="s">
        <v>82</v>
      </c>
      <c r="B53" s="450">
        <v>47385</v>
      </c>
      <c r="C53" s="451">
        <v>47385</v>
      </c>
      <c r="D53" s="452">
        <f t="shared" si="28"/>
        <v>0</v>
      </c>
      <c r="E53" s="220">
        <f t="shared" si="29"/>
        <v>0</v>
      </c>
      <c r="F53" s="256"/>
      <c r="G53" s="463">
        <v>47385</v>
      </c>
      <c r="H53" s="464">
        <v>47385</v>
      </c>
      <c r="I53" s="452">
        <f t="shared" si="30"/>
        <v>0</v>
      </c>
      <c r="J53" s="221">
        <f t="shared" si="31"/>
        <v>0</v>
      </c>
      <c r="K53" s="256"/>
      <c r="L53" s="642">
        <v>47385</v>
      </c>
      <c r="M53" s="451">
        <f>142155-H53-C53</f>
        <v>47385</v>
      </c>
      <c r="N53" s="452">
        <f t="shared" si="32"/>
        <v>0</v>
      </c>
      <c r="O53" s="222">
        <f t="shared" si="33"/>
        <v>0</v>
      </c>
      <c r="P53" s="256"/>
      <c r="Q53" s="450">
        <v>47385</v>
      </c>
      <c r="R53" s="450">
        <v>47385</v>
      </c>
      <c r="S53" s="452">
        <f t="shared" si="34"/>
        <v>0</v>
      </c>
      <c r="T53" s="223">
        <f t="shared" si="35"/>
        <v>0</v>
      </c>
      <c r="U53" s="256"/>
      <c r="V53" s="450">
        <f t="shared" si="40"/>
        <v>189540</v>
      </c>
      <c r="W53" s="451">
        <f t="shared" si="41"/>
        <v>189540</v>
      </c>
      <c r="X53" s="452">
        <f t="shared" si="36"/>
        <v>0</v>
      </c>
      <c r="Y53" s="881">
        <f t="shared" si="37"/>
        <v>0</v>
      </c>
      <c r="Z53" s="883"/>
      <c r="AA53" s="450">
        <v>189540</v>
      </c>
      <c r="AB53" s="451">
        <f t="shared" si="38"/>
        <v>0</v>
      </c>
      <c r="AC53" s="222">
        <f t="shared" si="39"/>
        <v>0</v>
      </c>
      <c r="AD53" s="256"/>
      <c r="AE53" s="193"/>
    </row>
    <row r="54" spans="1:31" x14ac:dyDescent="0.3">
      <c r="A54" s="190" t="s">
        <v>125</v>
      </c>
      <c r="B54" s="450">
        <v>0</v>
      </c>
      <c r="C54" s="450">
        <v>0</v>
      </c>
      <c r="D54" s="452">
        <f t="shared" si="28"/>
        <v>0</v>
      </c>
      <c r="E54" s="220" t="str">
        <f t="shared" si="29"/>
        <v>-</v>
      </c>
      <c r="F54" s="256"/>
      <c r="G54" s="463">
        <v>0</v>
      </c>
      <c r="H54" s="463">
        <v>0</v>
      </c>
      <c r="I54" s="452">
        <f t="shared" si="30"/>
        <v>0</v>
      </c>
      <c r="J54" s="221" t="str">
        <f t="shared" si="31"/>
        <v>-</v>
      </c>
      <c r="K54" s="256"/>
      <c r="L54" s="642">
        <v>0</v>
      </c>
      <c r="M54" s="451">
        <v>0</v>
      </c>
      <c r="N54" s="452">
        <f t="shared" si="32"/>
        <v>0</v>
      </c>
      <c r="O54" s="222" t="str">
        <f t="shared" si="33"/>
        <v>-</v>
      </c>
      <c r="P54" s="256"/>
      <c r="Q54" s="450">
        <v>0</v>
      </c>
      <c r="R54" s="450">
        <v>0</v>
      </c>
      <c r="S54" s="452">
        <f t="shared" si="34"/>
        <v>0</v>
      </c>
      <c r="T54" s="223" t="str">
        <f t="shared" si="35"/>
        <v>-</v>
      </c>
      <c r="U54" s="256"/>
      <c r="V54" s="450">
        <f t="shared" si="40"/>
        <v>0</v>
      </c>
      <c r="W54" s="451">
        <f t="shared" si="41"/>
        <v>0</v>
      </c>
      <c r="X54" s="452">
        <f t="shared" si="36"/>
        <v>0</v>
      </c>
      <c r="Y54" s="881"/>
      <c r="Z54" s="883"/>
      <c r="AA54" s="450"/>
      <c r="AB54" s="451"/>
      <c r="AC54" s="222"/>
      <c r="AD54" s="256"/>
      <c r="AE54" s="193"/>
    </row>
    <row r="55" spans="1:31" x14ac:dyDescent="0.3">
      <c r="A55" s="190" t="s">
        <v>90</v>
      </c>
      <c r="B55" s="450">
        <v>0</v>
      </c>
      <c r="C55" s="450">
        <v>0</v>
      </c>
      <c r="D55" s="452">
        <f t="shared" si="28"/>
        <v>0</v>
      </c>
      <c r="E55" s="220" t="str">
        <f t="shared" si="29"/>
        <v>-</v>
      </c>
      <c r="F55" s="256"/>
      <c r="G55" s="463">
        <v>0</v>
      </c>
      <c r="H55" s="463">
        <v>0</v>
      </c>
      <c r="I55" s="452">
        <f t="shared" si="30"/>
        <v>0</v>
      </c>
      <c r="J55" s="221" t="str">
        <f t="shared" si="31"/>
        <v>-</v>
      </c>
      <c r="K55" s="256"/>
      <c r="L55" s="642">
        <v>0</v>
      </c>
      <c r="M55" s="451">
        <v>0</v>
      </c>
      <c r="N55" s="452">
        <f t="shared" si="32"/>
        <v>0</v>
      </c>
      <c r="O55" s="222" t="str">
        <f t="shared" si="33"/>
        <v>-</v>
      </c>
      <c r="P55" s="256"/>
      <c r="Q55" s="450">
        <v>0</v>
      </c>
      <c r="R55" s="450">
        <v>0</v>
      </c>
      <c r="S55" s="452">
        <f t="shared" si="34"/>
        <v>0</v>
      </c>
      <c r="T55" s="223" t="str">
        <f t="shared" si="35"/>
        <v>-</v>
      </c>
      <c r="U55" s="256"/>
      <c r="V55" s="450">
        <f t="shared" si="40"/>
        <v>0</v>
      </c>
      <c r="W55" s="451">
        <f t="shared" si="41"/>
        <v>0</v>
      </c>
      <c r="X55" s="452">
        <f t="shared" si="36"/>
        <v>0</v>
      </c>
      <c r="Y55" s="881" t="str">
        <f t="shared" si="37"/>
        <v>-</v>
      </c>
      <c r="Z55" s="883"/>
      <c r="AA55" s="450">
        <v>0</v>
      </c>
      <c r="AB55" s="451">
        <v>0</v>
      </c>
      <c r="AC55" s="222" t="str">
        <f t="shared" si="39"/>
        <v>-</v>
      </c>
      <c r="AD55" s="256"/>
      <c r="AE55" s="193"/>
    </row>
    <row r="56" spans="1:31" x14ac:dyDescent="0.3">
      <c r="A56" s="190" t="s">
        <v>91</v>
      </c>
      <c r="B56" s="450">
        <v>3087.5</v>
      </c>
      <c r="C56" s="451">
        <v>8934.23</v>
      </c>
      <c r="D56" s="452">
        <f t="shared" si="28"/>
        <v>5846.73</v>
      </c>
      <c r="E56" s="220">
        <f t="shared" si="29"/>
        <v>1.8936777327935221</v>
      </c>
      <c r="F56" s="256"/>
      <c r="G56" s="463">
        <v>3087.5</v>
      </c>
      <c r="H56" s="464">
        <v>6648.59</v>
      </c>
      <c r="I56" s="452">
        <f t="shared" si="30"/>
        <v>3561.09</v>
      </c>
      <c r="J56" s="221">
        <f t="shared" si="31"/>
        <v>1.1533894736842105</v>
      </c>
      <c r="K56" s="256"/>
      <c r="L56" s="642">
        <v>3087.5</v>
      </c>
      <c r="M56" s="451">
        <f>18391.45-H56-C56</f>
        <v>2808.630000000001</v>
      </c>
      <c r="N56" s="452">
        <f t="shared" si="32"/>
        <v>-278.86999999999898</v>
      </c>
      <c r="O56" s="222">
        <f t="shared" si="33"/>
        <v>-9.0322267206477402E-2</v>
      </c>
      <c r="P56" s="256"/>
      <c r="Q56" s="450">
        <v>3087.5</v>
      </c>
      <c r="R56" s="450">
        <v>9041.98</v>
      </c>
      <c r="S56" s="452">
        <f t="shared" si="34"/>
        <v>5954.48</v>
      </c>
      <c r="T56" s="223">
        <f t="shared" si="35"/>
        <v>1.9285765182186234</v>
      </c>
      <c r="U56" s="256"/>
      <c r="V56" s="450">
        <f t="shared" si="40"/>
        <v>12350</v>
      </c>
      <c r="W56" s="451">
        <f t="shared" si="41"/>
        <v>27433.43</v>
      </c>
      <c r="X56" s="452">
        <f t="shared" si="36"/>
        <v>15083.43</v>
      </c>
      <c r="Y56" s="881">
        <f t="shared" si="37"/>
        <v>1.2213303643724696</v>
      </c>
      <c r="Z56" s="883"/>
      <c r="AA56" s="450">
        <v>12350</v>
      </c>
      <c r="AB56" s="451">
        <f t="shared" si="38"/>
        <v>-15083.43</v>
      </c>
      <c r="AC56" s="222">
        <f t="shared" si="39"/>
        <v>-1.2213303643724696</v>
      </c>
      <c r="AD56" s="256"/>
      <c r="AE56" s="189"/>
    </row>
    <row r="57" spans="1:31" x14ac:dyDescent="0.3">
      <c r="A57" s="190" t="s">
        <v>92</v>
      </c>
      <c r="B57" s="450">
        <v>231348.5</v>
      </c>
      <c r="C57" s="451">
        <v>207910.53000000003</v>
      </c>
      <c r="D57" s="452">
        <f t="shared" si="28"/>
        <v>-23437.969999999972</v>
      </c>
      <c r="E57" s="220">
        <f t="shared" si="29"/>
        <v>-0.10131023110156311</v>
      </c>
      <c r="F57" s="256"/>
      <c r="G57" s="463">
        <v>231348.5</v>
      </c>
      <c r="H57" s="464">
        <v>207693.03999999998</v>
      </c>
      <c r="I57" s="452">
        <f t="shared" si="30"/>
        <v>-23655.460000000021</v>
      </c>
      <c r="J57" s="221">
        <f t="shared" si="31"/>
        <v>-0.10225032796841138</v>
      </c>
      <c r="K57" s="256"/>
      <c r="L57" s="642">
        <v>231348.5</v>
      </c>
      <c r="M57" s="451">
        <f>329850.21+244039.13-H57-C57</f>
        <v>158285.77000000008</v>
      </c>
      <c r="N57" s="452">
        <f t="shared" si="32"/>
        <v>-73062.729999999923</v>
      </c>
      <c r="O57" s="222">
        <f t="shared" si="33"/>
        <v>-0.31581242151991445</v>
      </c>
      <c r="P57" s="256"/>
      <c r="Q57" s="450">
        <v>231348.5</v>
      </c>
      <c r="R57" s="450">
        <v>315900.25000000006</v>
      </c>
      <c r="S57" s="452">
        <f t="shared" si="34"/>
        <v>84551.750000000058</v>
      </c>
      <c r="T57" s="223">
        <f t="shared" si="35"/>
        <v>0.36547351722617633</v>
      </c>
      <c r="U57" s="256"/>
      <c r="V57" s="450">
        <f t="shared" si="40"/>
        <v>925394</v>
      </c>
      <c r="W57" s="451">
        <f t="shared" si="41"/>
        <v>889789.59000000008</v>
      </c>
      <c r="X57" s="452">
        <f t="shared" si="36"/>
        <v>-35604.409999999916</v>
      </c>
      <c r="Y57" s="881">
        <f t="shared" si="37"/>
        <v>-3.8474865840928206E-2</v>
      </c>
      <c r="Z57" s="883"/>
      <c r="AA57" s="450">
        <v>925394</v>
      </c>
      <c r="AB57" s="451">
        <f t="shared" si="38"/>
        <v>35604.409999999916</v>
      </c>
      <c r="AC57" s="222">
        <f t="shared" si="39"/>
        <v>3.8474865840928206E-2</v>
      </c>
      <c r="AD57" s="256"/>
      <c r="AE57" s="189"/>
    </row>
    <row r="58" spans="1:31" x14ac:dyDescent="0.3">
      <c r="A58" s="190" t="s">
        <v>93</v>
      </c>
      <c r="B58" s="450">
        <v>0</v>
      </c>
      <c r="C58" s="450">
        <v>0</v>
      </c>
      <c r="D58" s="452">
        <f t="shared" si="28"/>
        <v>0</v>
      </c>
      <c r="E58" s="220" t="str">
        <f t="shared" si="29"/>
        <v>-</v>
      </c>
      <c r="F58" s="256"/>
      <c r="G58" s="463">
        <v>0</v>
      </c>
      <c r="H58" s="463">
        <v>0</v>
      </c>
      <c r="I58" s="452">
        <f t="shared" si="30"/>
        <v>0</v>
      </c>
      <c r="J58" s="221" t="str">
        <f t="shared" si="31"/>
        <v>-</v>
      </c>
      <c r="K58" s="256"/>
      <c r="L58" s="642">
        <v>0</v>
      </c>
      <c r="M58" s="451">
        <v>0</v>
      </c>
      <c r="N58" s="452">
        <f t="shared" si="32"/>
        <v>0</v>
      </c>
      <c r="O58" s="222" t="str">
        <f t="shared" si="33"/>
        <v>-</v>
      </c>
      <c r="P58" s="256"/>
      <c r="Q58" s="450">
        <v>0</v>
      </c>
      <c r="R58" s="450">
        <v>0</v>
      </c>
      <c r="S58" s="452">
        <f t="shared" si="34"/>
        <v>0</v>
      </c>
      <c r="T58" s="223" t="str">
        <f t="shared" si="35"/>
        <v>-</v>
      </c>
      <c r="U58" s="256"/>
      <c r="V58" s="450">
        <f t="shared" si="40"/>
        <v>0</v>
      </c>
      <c r="W58" s="451">
        <f t="shared" si="41"/>
        <v>0</v>
      </c>
      <c r="X58" s="452">
        <f t="shared" si="36"/>
        <v>0</v>
      </c>
      <c r="Y58" s="881" t="str">
        <f t="shared" si="37"/>
        <v>-</v>
      </c>
      <c r="Z58" s="883"/>
      <c r="AA58" s="450">
        <v>0</v>
      </c>
      <c r="AB58" s="451">
        <f t="shared" si="38"/>
        <v>0</v>
      </c>
      <c r="AC58" s="222" t="str">
        <f t="shared" si="39"/>
        <v>-</v>
      </c>
      <c r="AD58" s="256"/>
      <c r="AE58" s="193"/>
    </row>
    <row r="59" spans="1:31" x14ac:dyDescent="0.3">
      <c r="A59" s="190" t="s">
        <v>94</v>
      </c>
      <c r="B59" s="450">
        <v>0</v>
      </c>
      <c r="C59" s="450">
        <v>0</v>
      </c>
      <c r="D59" s="452">
        <f t="shared" si="28"/>
        <v>0</v>
      </c>
      <c r="E59" s="220" t="str">
        <f t="shared" si="29"/>
        <v>-</v>
      </c>
      <c r="F59" s="256"/>
      <c r="G59" s="463">
        <v>0</v>
      </c>
      <c r="H59" s="463">
        <v>0</v>
      </c>
      <c r="I59" s="452">
        <f t="shared" si="30"/>
        <v>0</v>
      </c>
      <c r="J59" s="221" t="str">
        <f t="shared" si="31"/>
        <v>-</v>
      </c>
      <c r="K59" s="256"/>
      <c r="L59" s="642">
        <v>0</v>
      </c>
      <c r="M59" s="451">
        <v>0</v>
      </c>
      <c r="N59" s="452">
        <f t="shared" si="32"/>
        <v>0</v>
      </c>
      <c r="O59" s="222" t="str">
        <f t="shared" si="33"/>
        <v>-</v>
      </c>
      <c r="P59" s="256"/>
      <c r="Q59" s="450">
        <v>0</v>
      </c>
      <c r="R59" s="450">
        <v>0</v>
      </c>
      <c r="S59" s="452">
        <f t="shared" si="34"/>
        <v>0</v>
      </c>
      <c r="T59" s="223" t="str">
        <f t="shared" si="35"/>
        <v>-</v>
      </c>
      <c r="U59" s="256"/>
      <c r="V59" s="450">
        <f t="shared" si="40"/>
        <v>0</v>
      </c>
      <c r="W59" s="451">
        <f t="shared" si="41"/>
        <v>0</v>
      </c>
      <c r="X59" s="452">
        <f t="shared" si="36"/>
        <v>0</v>
      </c>
      <c r="Y59" s="881" t="str">
        <f t="shared" si="37"/>
        <v>-</v>
      </c>
      <c r="Z59" s="883"/>
      <c r="AA59" s="450">
        <v>0</v>
      </c>
      <c r="AB59" s="451">
        <f t="shared" si="38"/>
        <v>0</v>
      </c>
      <c r="AC59" s="222" t="str">
        <f t="shared" si="39"/>
        <v>-</v>
      </c>
      <c r="AD59" s="256"/>
      <c r="AE59" s="193"/>
    </row>
    <row r="60" spans="1:31" x14ac:dyDescent="0.3">
      <c r="A60" s="190" t="s">
        <v>95</v>
      </c>
      <c r="B60" s="450">
        <v>330308</v>
      </c>
      <c r="C60" s="451">
        <v>155955.59</v>
      </c>
      <c r="D60" s="452">
        <f t="shared" si="28"/>
        <v>-174352.41</v>
      </c>
      <c r="E60" s="220">
        <f t="shared" si="29"/>
        <v>-0.52784797825060248</v>
      </c>
      <c r="F60" s="191"/>
      <c r="G60" s="463">
        <v>330308</v>
      </c>
      <c r="H60" s="464">
        <v>186913.52</v>
      </c>
      <c r="I60" s="452">
        <f t="shared" si="30"/>
        <v>-143394.48000000001</v>
      </c>
      <c r="J60" s="221">
        <f t="shared" si="31"/>
        <v>-0.43412354529711666</v>
      </c>
      <c r="K60" s="191"/>
      <c r="L60" s="642">
        <v>330308</v>
      </c>
      <c r="M60" s="451">
        <f>537200.38-H60-C60</f>
        <v>194331.27</v>
      </c>
      <c r="N60" s="452">
        <f t="shared" si="32"/>
        <v>-135976.73000000001</v>
      </c>
      <c r="O60" s="222">
        <f t="shared" si="33"/>
        <v>-0.41166647492643232</v>
      </c>
      <c r="P60" s="191"/>
      <c r="Q60" s="450">
        <v>330308</v>
      </c>
      <c r="R60" s="450">
        <v>196684.44999999992</v>
      </c>
      <c r="S60" s="452">
        <f t="shared" si="34"/>
        <v>-133623.55000000008</v>
      </c>
      <c r="T60" s="223">
        <f t="shared" si="35"/>
        <v>-0.40454227569420081</v>
      </c>
      <c r="U60" s="191"/>
      <c r="V60" s="450">
        <f t="shared" si="40"/>
        <v>1321232</v>
      </c>
      <c r="W60" s="451">
        <f t="shared" si="41"/>
        <v>733884.83</v>
      </c>
      <c r="X60" s="452">
        <f t="shared" si="36"/>
        <v>-587347.17000000004</v>
      </c>
      <c r="Y60" s="881">
        <f t="shared" si="37"/>
        <v>-0.44454506854208803</v>
      </c>
      <c r="Z60" s="882"/>
      <c r="AA60" s="450">
        <v>1321232</v>
      </c>
      <c r="AB60" s="451">
        <f t="shared" si="38"/>
        <v>587347.17000000004</v>
      </c>
      <c r="AC60" s="222">
        <f t="shared" si="39"/>
        <v>0.44454506854208803</v>
      </c>
      <c r="AD60" s="191"/>
      <c r="AE60" s="193"/>
    </row>
    <row r="61" spans="1:31" x14ac:dyDescent="0.3">
      <c r="A61" s="190" t="s">
        <v>96</v>
      </c>
      <c r="B61" s="450">
        <v>0</v>
      </c>
      <c r="C61" s="450">
        <v>0</v>
      </c>
      <c r="D61" s="452">
        <f t="shared" si="28"/>
        <v>0</v>
      </c>
      <c r="E61" s="220" t="str">
        <f t="shared" si="29"/>
        <v>-</v>
      </c>
      <c r="F61" s="191"/>
      <c r="G61" s="463">
        <v>0</v>
      </c>
      <c r="H61" s="450">
        <v>0</v>
      </c>
      <c r="I61" s="452">
        <f t="shared" si="30"/>
        <v>0</v>
      </c>
      <c r="J61" s="221" t="str">
        <f t="shared" si="31"/>
        <v>-</v>
      </c>
      <c r="K61" s="191"/>
      <c r="L61" s="642">
        <v>0</v>
      </c>
      <c r="M61" s="451">
        <v>0</v>
      </c>
      <c r="N61" s="452">
        <f t="shared" si="32"/>
        <v>0</v>
      </c>
      <c r="O61" s="222" t="str">
        <f t="shared" si="33"/>
        <v>-</v>
      </c>
      <c r="P61" s="191"/>
      <c r="Q61" s="450">
        <v>0</v>
      </c>
      <c r="R61" s="450">
        <v>0</v>
      </c>
      <c r="S61" s="452">
        <f t="shared" si="34"/>
        <v>0</v>
      </c>
      <c r="T61" s="223" t="str">
        <f t="shared" si="35"/>
        <v>-</v>
      </c>
      <c r="U61" s="191"/>
      <c r="V61" s="450">
        <f t="shared" si="40"/>
        <v>0</v>
      </c>
      <c r="W61" s="451">
        <f t="shared" si="41"/>
        <v>0</v>
      </c>
      <c r="X61" s="452">
        <f t="shared" si="36"/>
        <v>0</v>
      </c>
      <c r="Y61" s="881" t="str">
        <f t="shared" si="37"/>
        <v>-</v>
      </c>
      <c r="Z61" s="882"/>
      <c r="AA61" s="450">
        <v>0</v>
      </c>
      <c r="AB61" s="451">
        <f t="shared" si="38"/>
        <v>0</v>
      </c>
      <c r="AC61" s="222" t="str">
        <f t="shared" si="39"/>
        <v>-</v>
      </c>
      <c r="AD61" s="191"/>
      <c r="AE61" s="193"/>
    </row>
    <row r="62" spans="1:31" x14ac:dyDescent="0.3">
      <c r="A62" s="190" t="s">
        <v>110</v>
      </c>
      <c r="B62" s="450">
        <v>55562.25</v>
      </c>
      <c r="C62" s="451">
        <v>391599.25</v>
      </c>
      <c r="D62" s="452">
        <f t="shared" si="28"/>
        <v>336037</v>
      </c>
      <c r="E62" s="220">
        <f t="shared" si="29"/>
        <v>6.0479372235645608</v>
      </c>
      <c r="F62" s="191"/>
      <c r="G62" s="463">
        <v>55562.25</v>
      </c>
      <c r="H62" s="464">
        <v>49104.229999999981</v>
      </c>
      <c r="I62" s="452">
        <f t="shared" si="30"/>
        <v>-6458.0200000000186</v>
      </c>
      <c r="J62" s="221">
        <f t="shared" si="31"/>
        <v>-0.11623035424231414</v>
      </c>
      <c r="K62" s="191"/>
      <c r="L62" s="642">
        <v>55562.25</v>
      </c>
      <c r="M62" s="451">
        <f>351149.92+125285.85+10672.22+66212.53+380+380-H62-C62</f>
        <v>113377.04000000004</v>
      </c>
      <c r="N62" s="452">
        <f t="shared" si="32"/>
        <v>57814.790000000037</v>
      </c>
      <c r="O62" s="222">
        <f t="shared" si="33"/>
        <v>1.0405408348294036</v>
      </c>
      <c r="P62" s="191"/>
      <c r="Q62" s="450">
        <v>55562.25</v>
      </c>
      <c r="R62" s="450">
        <v>164133.20999999996</v>
      </c>
      <c r="S62" s="452">
        <f t="shared" si="34"/>
        <v>108570.95999999996</v>
      </c>
      <c r="T62" s="223">
        <f t="shared" si="35"/>
        <v>1.9540418179609351</v>
      </c>
      <c r="U62" s="191"/>
      <c r="V62" s="450">
        <f t="shared" si="40"/>
        <v>222249</v>
      </c>
      <c r="W62" s="451">
        <f t="shared" si="41"/>
        <v>718213.73</v>
      </c>
      <c r="X62" s="452">
        <f t="shared" si="36"/>
        <v>495964.73</v>
      </c>
      <c r="Y62" s="881">
        <f t="shared" si="37"/>
        <v>2.2315723805281462</v>
      </c>
      <c r="Z62" s="882"/>
      <c r="AA62" s="450">
        <v>222249</v>
      </c>
      <c r="AB62" s="451">
        <f t="shared" si="38"/>
        <v>-495964.73</v>
      </c>
      <c r="AC62" s="222">
        <f t="shared" si="39"/>
        <v>-2.2315723805281462</v>
      </c>
      <c r="AD62" s="191"/>
      <c r="AE62" s="193"/>
    </row>
    <row r="63" spans="1:31" x14ac:dyDescent="0.3">
      <c r="A63" s="190" t="s">
        <v>124</v>
      </c>
      <c r="B63" s="450">
        <v>1111389</v>
      </c>
      <c r="C63" s="451">
        <v>405089.06</v>
      </c>
      <c r="D63" s="452">
        <f t="shared" si="28"/>
        <v>-706299.94</v>
      </c>
      <c r="E63" s="220">
        <f t="shared" si="29"/>
        <v>-0.63551100469772503</v>
      </c>
      <c r="F63" s="191"/>
      <c r="G63" s="463">
        <v>1111389</v>
      </c>
      <c r="H63" s="464">
        <v>389528.56</v>
      </c>
      <c r="I63" s="452">
        <f t="shared" si="30"/>
        <v>-721860.44</v>
      </c>
      <c r="J63" s="221">
        <f t="shared" si="31"/>
        <v>-0.64951195306053955</v>
      </c>
      <c r="K63" s="191"/>
      <c r="L63" s="642">
        <v>1111389</v>
      </c>
      <c r="M63" s="451">
        <f>588513.1+704366.1-66212.53-H63-C63</f>
        <v>432049.04999999987</v>
      </c>
      <c r="N63" s="452">
        <f t="shared" si="32"/>
        <v>-679339.95000000019</v>
      </c>
      <c r="O63" s="222">
        <f t="shared" si="33"/>
        <v>-0.61125308060454098</v>
      </c>
      <c r="P63" s="191"/>
      <c r="Q63" s="450">
        <v>1111389</v>
      </c>
      <c r="R63" s="450">
        <v>3132306.16</v>
      </c>
      <c r="S63" s="452">
        <f t="shared" si="34"/>
        <v>2020917.1600000001</v>
      </c>
      <c r="T63" s="223">
        <f t="shared" si="35"/>
        <v>1.8183706694955593</v>
      </c>
      <c r="U63" s="191"/>
      <c r="V63" s="450">
        <f t="shared" si="40"/>
        <v>4445556</v>
      </c>
      <c r="W63" s="451">
        <f t="shared" si="41"/>
        <v>4358972.83</v>
      </c>
      <c r="X63" s="452">
        <f t="shared" si="36"/>
        <v>-86583.169999999925</v>
      </c>
      <c r="Y63" s="881">
        <f t="shared" si="37"/>
        <v>-1.9476342216811559E-2</v>
      </c>
      <c r="Z63" s="882"/>
      <c r="AA63" s="450">
        <v>4445556</v>
      </c>
      <c r="AB63" s="451">
        <f t="shared" si="38"/>
        <v>86583.169999999925</v>
      </c>
      <c r="AC63" s="222">
        <f t="shared" si="39"/>
        <v>1.9476342216811559E-2</v>
      </c>
      <c r="AD63" s="191"/>
      <c r="AE63" s="193"/>
    </row>
    <row r="64" spans="1:31" x14ac:dyDescent="0.3">
      <c r="A64" s="190" t="s">
        <v>123</v>
      </c>
      <c r="B64" s="450">
        <v>0</v>
      </c>
      <c r="C64" s="450">
        <v>0</v>
      </c>
      <c r="D64" s="452">
        <f t="shared" si="28"/>
        <v>0</v>
      </c>
      <c r="E64" s="220" t="str">
        <f t="shared" si="29"/>
        <v>-</v>
      </c>
      <c r="F64" s="256"/>
      <c r="G64" s="463">
        <v>0</v>
      </c>
      <c r="H64" s="450">
        <v>0</v>
      </c>
      <c r="I64" s="452">
        <f t="shared" si="30"/>
        <v>0</v>
      </c>
      <c r="J64" s="221" t="str">
        <f t="shared" si="31"/>
        <v>-</v>
      </c>
      <c r="K64" s="256"/>
      <c r="L64" s="642">
        <v>0</v>
      </c>
      <c r="M64" s="451">
        <v>0</v>
      </c>
      <c r="N64" s="452">
        <f t="shared" si="32"/>
        <v>0</v>
      </c>
      <c r="O64" s="222" t="str">
        <f t="shared" si="33"/>
        <v>-</v>
      </c>
      <c r="P64" s="256"/>
      <c r="Q64" s="450">
        <v>0</v>
      </c>
      <c r="R64" s="450">
        <v>0</v>
      </c>
      <c r="S64" s="452">
        <f t="shared" si="34"/>
        <v>0</v>
      </c>
      <c r="T64" s="223" t="str">
        <f t="shared" si="35"/>
        <v>-</v>
      </c>
      <c r="U64" s="256"/>
      <c r="V64" s="450">
        <f t="shared" si="40"/>
        <v>0</v>
      </c>
      <c r="W64" s="451">
        <f t="shared" si="41"/>
        <v>0</v>
      </c>
      <c r="X64" s="452">
        <f t="shared" si="36"/>
        <v>0</v>
      </c>
      <c r="Y64" s="881" t="str">
        <f t="shared" si="37"/>
        <v>-</v>
      </c>
      <c r="Z64" s="883"/>
      <c r="AA64" s="450">
        <v>0</v>
      </c>
      <c r="AB64" s="451">
        <f t="shared" si="38"/>
        <v>0</v>
      </c>
      <c r="AC64" s="222" t="str">
        <f t="shared" si="39"/>
        <v>-</v>
      </c>
      <c r="AD64" s="256"/>
      <c r="AE64" s="193"/>
    </row>
    <row r="65" spans="1:31" x14ac:dyDescent="0.3">
      <c r="A65" s="190" t="s">
        <v>122</v>
      </c>
      <c r="B65" s="450">
        <v>75531.75</v>
      </c>
      <c r="C65" s="451">
        <v>141810.28</v>
      </c>
      <c r="D65" s="452">
        <f t="shared" si="28"/>
        <v>66278.53</v>
      </c>
      <c r="E65" s="220">
        <f t="shared" si="29"/>
        <v>0.8774923128353308</v>
      </c>
      <c r="F65" s="256"/>
      <c r="G65" s="463">
        <v>75531.75</v>
      </c>
      <c r="H65" s="464">
        <v>120618.78</v>
      </c>
      <c r="I65" s="452">
        <f t="shared" si="30"/>
        <v>45087.03</v>
      </c>
      <c r="J65" s="221">
        <f t="shared" si="31"/>
        <v>0.59692817920940533</v>
      </c>
      <c r="K65" s="256"/>
      <c r="L65" s="642">
        <v>75531.75</v>
      </c>
      <c r="M65" s="451">
        <f>239897.82+215735.07-H65-C65</f>
        <v>193203.83</v>
      </c>
      <c r="N65" s="452">
        <f t="shared" si="32"/>
        <v>117672.07999999999</v>
      </c>
      <c r="O65" s="222">
        <f t="shared" si="33"/>
        <v>1.5579154461534386</v>
      </c>
      <c r="P65" s="256"/>
      <c r="Q65" s="450">
        <v>75531.75</v>
      </c>
      <c r="R65" s="450">
        <v>154560.77000000005</v>
      </c>
      <c r="S65" s="452">
        <f t="shared" si="34"/>
        <v>79029.020000000048</v>
      </c>
      <c r="T65" s="223">
        <f t="shared" si="35"/>
        <v>1.0463019855888425</v>
      </c>
      <c r="U65" s="256"/>
      <c r="V65" s="450">
        <f t="shared" si="40"/>
        <v>302127</v>
      </c>
      <c r="W65" s="451">
        <f t="shared" si="41"/>
        <v>610193.66</v>
      </c>
      <c r="X65" s="452">
        <f t="shared" si="36"/>
        <v>308066.66000000003</v>
      </c>
      <c r="Y65" s="881">
        <f t="shared" si="37"/>
        <v>1.0196594809467543</v>
      </c>
      <c r="Z65" s="883"/>
      <c r="AA65" s="450">
        <v>302127</v>
      </c>
      <c r="AB65" s="451">
        <f t="shared" si="38"/>
        <v>-308066.66000000003</v>
      </c>
      <c r="AC65" s="222">
        <f t="shared" si="39"/>
        <v>-1.0196594809467543</v>
      </c>
      <c r="AD65" s="256"/>
      <c r="AE65" s="189"/>
    </row>
    <row r="66" spans="1:31" x14ac:dyDescent="0.3">
      <c r="A66" s="190" t="s">
        <v>114</v>
      </c>
      <c r="B66" s="450">
        <v>500</v>
      </c>
      <c r="C66" s="450"/>
      <c r="D66" s="452">
        <f t="shared" si="28"/>
        <v>-500</v>
      </c>
      <c r="E66" s="220">
        <f t="shared" si="29"/>
        <v>-1</v>
      </c>
      <c r="F66" s="256"/>
      <c r="G66" s="463">
        <v>500</v>
      </c>
      <c r="H66" s="464">
        <v>0</v>
      </c>
      <c r="I66" s="452">
        <f t="shared" si="30"/>
        <v>-500</v>
      </c>
      <c r="J66" s="221">
        <f t="shared" si="31"/>
        <v>-1</v>
      </c>
      <c r="K66" s="256"/>
      <c r="L66" s="642">
        <v>500</v>
      </c>
      <c r="M66" s="451">
        <f>604.85-H66-C66</f>
        <v>604.85</v>
      </c>
      <c r="N66" s="452">
        <f t="shared" si="32"/>
        <v>104.85000000000002</v>
      </c>
      <c r="O66" s="222">
        <f t="shared" si="33"/>
        <v>0.20970000000000005</v>
      </c>
      <c r="P66" s="256"/>
      <c r="Q66" s="450">
        <v>500</v>
      </c>
      <c r="R66" s="450">
        <v>321.61</v>
      </c>
      <c r="S66" s="452">
        <f t="shared" si="34"/>
        <v>-178.39</v>
      </c>
      <c r="T66" s="223">
        <f t="shared" si="35"/>
        <v>-0.35677999999999999</v>
      </c>
      <c r="U66" s="256"/>
      <c r="V66" s="450">
        <f t="shared" si="40"/>
        <v>2000</v>
      </c>
      <c r="W66" s="451">
        <f t="shared" si="41"/>
        <v>926.46</v>
      </c>
      <c r="X66" s="452">
        <f t="shared" si="36"/>
        <v>-1073.54</v>
      </c>
      <c r="Y66" s="881">
        <f t="shared" si="37"/>
        <v>-0.53676999999999997</v>
      </c>
      <c r="Z66" s="883"/>
      <c r="AA66" s="450">
        <v>2000</v>
      </c>
      <c r="AB66" s="451">
        <f t="shared" si="38"/>
        <v>1073.54</v>
      </c>
      <c r="AC66" s="222">
        <f t="shared" si="39"/>
        <v>0.53676999999999997</v>
      </c>
      <c r="AD66" s="256"/>
      <c r="AE66" s="193"/>
    </row>
    <row r="67" spans="1:31" x14ac:dyDescent="0.3">
      <c r="A67" s="190" t="s">
        <v>115</v>
      </c>
      <c r="B67" s="450">
        <v>250</v>
      </c>
      <c r="C67" s="451">
        <v>6612.96</v>
      </c>
      <c r="D67" s="452">
        <f t="shared" si="28"/>
        <v>6362.96</v>
      </c>
      <c r="E67" s="220">
        <f t="shared" si="29"/>
        <v>25.451840000000001</v>
      </c>
      <c r="F67" s="191"/>
      <c r="G67" s="463">
        <v>250</v>
      </c>
      <c r="H67" s="464">
        <v>7015.9199999999992</v>
      </c>
      <c r="I67" s="452">
        <f t="shared" si="30"/>
        <v>6765.9199999999992</v>
      </c>
      <c r="J67" s="221">
        <f t="shared" si="31"/>
        <v>27.063679999999998</v>
      </c>
      <c r="K67" s="191"/>
      <c r="L67" s="642">
        <v>250</v>
      </c>
      <c r="M67" s="451">
        <f>14233.73-604.85-H67-C67</f>
        <v>0</v>
      </c>
      <c r="N67" s="452">
        <f t="shared" si="32"/>
        <v>-250</v>
      </c>
      <c r="O67" s="222">
        <f t="shared" si="33"/>
        <v>-1</v>
      </c>
      <c r="P67" s="191"/>
      <c r="Q67" s="450">
        <v>250</v>
      </c>
      <c r="R67" s="450">
        <v>0</v>
      </c>
      <c r="S67" s="452">
        <f t="shared" si="34"/>
        <v>-250</v>
      </c>
      <c r="T67" s="223">
        <f t="shared" si="35"/>
        <v>-1</v>
      </c>
      <c r="U67" s="191"/>
      <c r="V67" s="450">
        <f t="shared" si="40"/>
        <v>1000</v>
      </c>
      <c r="W67" s="451">
        <f t="shared" si="41"/>
        <v>13628.88</v>
      </c>
      <c r="X67" s="452">
        <f t="shared" si="36"/>
        <v>12628.88</v>
      </c>
      <c r="Y67" s="881">
        <f t="shared" si="37"/>
        <v>12.628879999999999</v>
      </c>
      <c r="Z67" s="882"/>
      <c r="AA67" s="450">
        <v>1000</v>
      </c>
      <c r="AB67" s="451">
        <f t="shared" si="38"/>
        <v>-12628.88</v>
      </c>
      <c r="AC67" s="222">
        <f t="shared" si="39"/>
        <v>-12.628879999999999</v>
      </c>
      <c r="AD67" s="191"/>
      <c r="AE67" s="189"/>
    </row>
    <row r="68" spans="1:31" x14ac:dyDescent="0.3">
      <c r="A68" s="190" t="s">
        <v>121</v>
      </c>
      <c r="B68" s="450">
        <v>0</v>
      </c>
      <c r="C68" s="450">
        <v>0</v>
      </c>
      <c r="D68" s="452">
        <f t="shared" si="28"/>
        <v>0</v>
      </c>
      <c r="E68" s="220" t="str">
        <f t="shared" si="29"/>
        <v>-</v>
      </c>
      <c r="F68" s="256"/>
      <c r="G68" s="463">
        <v>0</v>
      </c>
      <c r="H68" s="463">
        <v>0</v>
      </c>
      <c r="I68" s="452">
        <f t="shared" si="30"/>
        <v>0</v>
      </c>
      <c r="J68" s="221" t="str">
        <f t="shared" si="31"/>
        <v>-</v>
      </c>
      <c r="K68" s="256"/>
      <c r="L68" s="642">
        <v>0</v>
      </c>
      <c r="M68" s="642">
        <v>0</v>
      </c>
      <c r="N68" s="452">
        <f t="shared" si="32"/>
        <v>0</v>
      </c>
      <c r="O68" s="222" t="str">
        <f t="shared" si="33"/>
        <v>-</v>
      </c>
      <c r="P68" s="256"/>
      <c r="Q68" s="450">
        <v>0</v>
      </c>
      <c r="R68" s="450">
        <v>0</v>
      </c>
      <c r="S68" s="452">
        <f t="shared" si="34"/>
        <v>0</v>
      </c>
      <c r="T68" s="223" t="str">
        <f t="shared" si="35"/>
        <v>-</v>
      </c>
      <c r="U68" s="256"/>
      <c r="V68" s="450">
        <f t="shared" si="40"/>
        <v>0</v>
      </c>
      <c r="W68" s="451">
        <f t="shared" si="41"/>
        <v>0</v>
      </c>
      <c r="X68" s="452">
        <f t="shared" si="36"/>
        <v>0</v>
      </c>
      <c r="Y68" s="881" t="str">
        <f t="shared" si="37"/>
        <v>-</v>
      </c>
      <c r="Z68" s="883"/>
      <c r="AA68" s="450">
        <v>0</v>
      </c>
      <c r="AB68" s="451">
        <f t="shared" si="38"/>
        <v>0</v>
      </c>
      <c r="AC68" s="222" t="str">
        <f t="shared" si="39"/>
        <v>-</v>
      </c>
      <c r="AD68" s="256"/>
      <c r="AE68" s="189"/>
    </row>
    <row r="69" spans="1:31" x14ac:dyDescent="0.3">
      <c r="A69" s="190" t="s">
        <v>97</v>
      </c>
      <c r="B69" s="450">
        <v>0</v>
      </c>
      <c r="C69" s="450">
        <v>0</v>
      </c>
      <c r="D69" s="452">
        <f t="shared" si="28"/>
        <v>0</v>
      </c>
      <c r="E69" s="220" t="str">
        <f t="shared" si="29"/>
        <v>-</v>
      </c>
      <c r="F69" s="256"/>
      <c r="G69" s="463">
        <v>0</v>
      </c>
      <c r="H69" s="463">
        <v>0</v>
      </c>
      <c r="I69" s="452">
        <f t="shared" si="30"/>
        <v>0</v>
      </c>
      <c r="J69" s="221" t="str">
        <f t="shared" si="31"/>
        <v>-</v>
      </c>
      <c r="K69" s="256"/>
      <c r="L69" s="642">
        <v>0</v>
      </c>
      <c r="M69" s="642">
        <v>0</v>
      </c>
      <c r="N69" s="452">
        <f t="shared" si="32"/>
        <v>0</v>
      </c>
      <c r="O69" s="222" t="str">
        <f t="shared" si="33"/>
        <v>-</v>
      </c>
      <c r="P69" s="256"/>
      <c r="Q69" s="450">
        <v>0</v>
      </c>
      <c r="R69" s="450">
        <v>0</v>
      </c>
      <c r="S69" s="452">
        <f t="shared" si="34"/>
        <v>0</v>
      </c>
      <c r="T69" s="223" t="str">
        <f t="shared" si="35"/>
        <v>-</v>
      </c>
      <c r="U69" s="256"/>
      <c r="V69" s="450">
        <f t="shared" si="40"/>
        <v>0</v>
      </c>
      <c r="W69" s="451">
        <f t="shared" si="41"/>
        <v>0</v>
      </c>
      <c r="X69" s="452">
        <f t="shared" si="36"/>
        <v>0</v>
      </c>
      <c r="Y69" s="881" t="str">
        <f t="shared" si="37"/>
        <v>-</v>
      </c>
      <c r="Z69" s="883"/>
      <c r="AA69" s="450">
        <v>0</v>
      </c>
      <c r="AB69" s="451">
        <f t="shared" si="38"/>
        <v>0</v>
      </c>
      <c r="AC69" s="222" t="str">
        <f t="shared" si="39"/>
        <v>-</v>
      </c>
      <c r="AD69" s="256"/>
      <c r="AE69" s="193"/>
    </row>
    <row r="70" spans="1:31" x14ac:dyDescent="0.3">
      <c r="A70" s="190" t="s">
        <v>98</v>
      </c>
      <c r="B70" s="450">
        <v>1145</v>
      </c>
      <c r="C70" s="451">
        <v>150</v>
      </c>
      <c r="D70" s="452">
        <f t="shared" si="28"/>
        <v>-995</v>
      </c>
      <c r="E70" s="220">
        <f t="shared" si="29"/>
        <v>-0.86899563318777295</v>
      </c>
      <c r="F70" s="191"/>
      <c r="G70" s="463">
        <v>1145</v>
      </c>
      <c r="H70" s="464">
        <v>0</v>
      </c>
      <c r="I70" s="452">
        <f t="shared" si="30"/>
        <v>-1145</v>
      </c>
      <c r="J70" s="221">
        <f t="shared" si="31"/>
        <v>-1</v>
      </c>
      <c r="K70" s="191"/>
      <c r="L70" s="642">
        <v>1145</v>
      </c>
      <c r="M70" s="451">
        <f>150-H70-C70</f>
        <v>0</v>
      </c>
      <c r="N70" s="452">
        <f t="shared" si="32"/>
        <v>-1145</v>
      </c>
      <c r="O70" s="222">
        <f t="shared" si="33"/>
        <v>-1</v>
      </c>
      <c r="P70" s="191"/>
      <c r="Q70" s="450">
        <v>1145</v>
      </c>
      <c r="R70" s="450">
        <v>0</v>
      </c>
      <c r="S70" s="452">
        <f t="shared" si="34"/>
        <v>-1145</v>
      </c>
      <c r="T70" s="223">
        <f t="shared" si="35"/>
        <v>-1</v>
      </c>
      <c r="U70" s="191"/>
      <c r="V70" s="450">
        <f t="shared" si="40"/>
        <v>4580</v>
      </c>
      <c r="W70" s="451">
        <f t="shared" si="41"/>
        <v>150</v>
      </c>
      <c r="X70" s="452">
        <f>W70-V70</f>
        <v>-4430</v>
      </c>
      <c r="Y70" s="881">
        <f t="shared" si="37"/>
        <v>-0.96724890829694321</v>
      </c>
      <c r="Z70" s="882"/>
      <c r="AA70" s="450">
        <v>4580</v>
      </c>
      <c r="AB70" s="451">
        <f t="shared" si="38"/>
        <v>4430</v>
      </c>
      <c r="AC70" s="222">
        <f t="shared" si="39"/>
        <v>0.96724890829694321</v>
      </c>
      <c r="AD70" s="191"/>
      <c r="AE70" s="193"/>
    </row>
    <row r="71" spans="1:31" x14ac:dyDescent="0.3">
      <c r="A71" s="190" t="s">
        <v>116</v>
      </c>
      <c r="B71" s="450">
        <v>146225.25</v>
      </c>
      <c r="C71" s="450">
        <v>144913.28</v>
      </c>
      <c r="D71" s="452">
        <f t="shared" si="28"/>
        <v>-1311.9700000000012</v>
      </c>
      <c r="E71" s="220">
        <f t="shared" si="29"/>
        <v>-8.9722534240837416E-3</v>
      </c>
      <c r="F71" s="256"/>
      <c r="G71" s="463">
        <v>146225.25</v>
      </c>
      <c r="H71" s="450">
        <v>163568.54</v>
      </c>
      <c r="I71" s="452">
        <f t="shared" si="30"/>
        <v>17343.290000000008</v>
      </c>
      <c r="J71" s="221">
        <f t="shared" si="31"/>
        <v>0.11860667018863026</v>
      </c>
      <c r="K71" s="256"/>
      <c r="L71" s="642">
        <v>146225.25</v>
      </c>
      <c r="M71" s="451">
        <f>82135.16+454183.9+163.07-H71-C71</f>
        <v>228000.30999999997</v>
      </c>
      <c r="N71" s="452">
        <f t="shared" si="32"/>
        <v>81775.059999999969</v>
      </c>
      <c r="O71" s="222">
        <f t="shared" si="33"/>
        <v>0.55924035007633754</v>
      </c>
      <c r="P71" s="256"/>
      <c r="Q71" s="450">
        <v>146225.25</v>
      </c>
      <c r="R71" s="450">
        <v>133869.50999999992</v>
      </c>
      <c r="S71" s="452">
        <f t="shared" si="34"/>
        <v>-12355.740000000078</v>
      </c>
      <c r="T71" s="223">
        <f t="shared" si="35"/>
        <v>-8.4497991967872013E-2</v>
      </c>
      <c r="U71" s="256"/>
      <c r="V71" s="450">
        <f t="shared" si="40"/>
        <v>584901</v>
      </c>
      <c r="W71" s="451">
        <f t="shared" si="41"/>
        <v>670351.6399999999</v>
      </c>
      <c r="X71" s="452">
        <f t="shared" si="36"/>
        <v>85450.639999999898</v>
      </c>
      <c r="Y71" s="222">
        <f t="shared" si="37"/>
        <v>0.146094193718253</v>
      </c>
      <c r="Z71" s="257"/>
      <c r="AA71" s="450">
        <v>584901</v>
      </c>
      <c r="AB71" s="451">
        <f t="shared" si="38"/>
        <v>-85450.639999999898</v>
      </c>
      <c r="AC71" s="222">
        <f t="shared" si="39"/>
        <v>-0.146094193718253</v>
      </c>
      <c r="AD71" s="256"/>
      <c r="AE71" s="193"/>
    </row>
    <row r="72" spans="1:31" x14ac:dyDescent="0.3">
      <c r="A72" s="190" t="s">
        <v>99</v>
      </c>
      <c r="B72" s="450">
        <v>25000</v>
      </c>
      <c r="C72" s="451">
        <v>0</v>
      </c>
      <c r="D72" s="452">
        <f t="shared" si="28"/>
        <v>-25000</v>
      </c>
      <c r="E72" s="220">
        <f t="shared" si="29"/>
        <v>-1</v>
      </c>
      <c r="F72" s="191"/>
      <c r="G72" s="463">
        <v>25000</v>
      </c>
      <c r="H72" s="464">
        <v>16008.28</v>
      </c>
      <c r="I72" s="452">
        <f t="shared" si="30"/>
        <v>-8991.7199999999993</v>
      </c>
      <c r="J72" s="221">
        <f t="shared" si="31"/>
        <v>-0.35966879999999996</v>
      </c>
      <c r="K72" s="191"/>
      <c r="L72" s="642">
        <v>25000</v>
      </c>
      <c r="M72" s="451">
        <f>127069.69-H72-C72</f>
        <v>111061.41</v>
      </c>
      <c r="N72" s="452">
        <f t="shared" si="32"/>
        <v>86061.41</v>
      </c>
      <c r="O72" s="222">
        <f t="shared" si="33"/>
        <v>3.4424564000000002</v>
      </c>
      <c r="P72" s="191"/>
      <c r="Q72" s="450">
        <v>25000</v>
      </c>
      <c r="R72" s="450">
        <v>-1005.5700000000088</v>
      </c>
      <c r="S72" s="452">
        <f t="shared" si="34"/>
        <v>-26005.570000000007</v>
      </c>
      <c r="T72" s="223">
        <f t="shared" si="35"/>
        <v>-1.0402228000000002</v>
      </c>
      <c r="U72" s="191"/>
      <c r="V72" s="450">
        <f t="shared" si="40"/>
        <v>100000</v>
      </c>
      <c r="W72" s="451">
        <f t="shared" si="41"/>
        <v>126064.12</v>
      </c>
      <c r="X72" s="452">
        <f t="shared" si="36"/>
        <v>26064.119999999995</v>
      </c>
      <c r="Y72" s="222">
        <f t="shared" si="37"/>
        <v>0.26064119999999996</v>
      </c>
      <c r="Z72" s="188"/>
      <c r="AA72" s="485">
        <v>100000</v>
      </c>
      <c r="AB72" s="451">
        <f t="shared" si="38"/>
        <v>-26064.119999999995</v>
      </c>
      <c r="AC72" s="222">
        <f t="shared" si="39"/>
        <v>-0.26064119999999996</v>
      </c>
      <c r="AD72" s="191"/>
      <c r="AE72" s="193"/>
    </row>
    <row r="73" spans="1:31" x14ac:dyDescent="0.3">
      <c r="A73" s="190" t="s">
        <v>100</v>
      </c>
      <c r="B73" s="450">
        <v>0</v>
      </c>
      <c r="C73" s="450">
        <v>0</v>
      </c>
      <c r="D73" s="452">
        <f t="shared" si="28"/>
        <v>0</v>
      </c>
      <c r="E73" s="220" t="str">
        <f t="shared" si="29"/>
        <v>-</v>
      </c>
      <c r="F73" s="256"/>
      <c r="G73" s="463">
        <v>0</v>
      </c>
      <c r="H73" s="450">
        <v>0</v>
      </c>
      <c r="I73" s="452">
        <f t="shared" si="30"/>
        <v>0</v>
      </c>
      <c r="J73" s="221" t="str">
        <f t="shared" si="31"/>
        <v>-</v>
      </c>
      <c r="K73" s="256"/>
      <c r="L73" s="642">
        <v>0</v>
      </c>
      <c r="M73" s="451">
        <v>0</v>
      </c>
      <c r="N73" s="452">
        <f t="shared" si="32"/>
        <v>0</v>
      </c>
      <c r="O73" s="222" t="str">
        <f t="shared" si="33"/>
        <v>-</v>
      </c>
      <c r="P73" s="256"/>
      <c r="Q73" s="450">
        <v>0</v>
      </c>
      <c r="R73" s="450">
        <v>0</v>
      </c>
      <c r="S73" s="452">
        <f t="shared" si="34"/>
        <v>0</v>
      </c>
      <c r="T73" s="223" t="str">
        <f t="shared" si="35"/>
        <v>-</v>
      </c>
      <c r="U73" s="256"/>
      <c r="V73" s="450">
        <f t="shared" si="40"/>
        <v>0</v>
      </c>
      <c r="W73" s="451">
        <f t="shared" si="41"/>
        <v>0</v>
      </c>
      <c r="X73" s="452">
        <f t="shared" si="36"/>
        <v>0</v>
      </c>
      <c r="Y73" s="222" t="str">
        <f t="shared" si="37"/>
        <v>-</v>
      </c>
      <c r="Z73" s="257"/>
      <c r="AA73" s="450">
        <v>0</v>
      </c>
      <c r="AB73" s="451">
        <f>AA73-W73</f>
        <v>0</v>
      </c>
      <c r="AC73" s="222" t="str">
        <f t="shared" si="39"/>
        <v>-</v>
      </c>
      <c r="AD73" s="256"/>
      <c r="AE73" s="189"/>
    </row>
    <row r="74" spans="1:31" x14ac:dyDescent="0.3">
      <c r="A74" s="275" t="s">
        <v>101</v>
      </c>
      <c r="B74" s="450">
        <v>833428.75</v>
      </c>
      <c r="C74" s="451">
        <v>612451.12</v>
      </c>
      <c r="D74" s="452">
        <f t="shared" si="28"/>
        <v>-220977.63</v>
      </c>
      <c r="E74" s="220">
        <f t="shared" si="29"/>
        <v>-0.26514279714972638</v>
      </c>
      <c r="F74" s="191"/>
      <c r="G74" s="463">
        <v>833428.75</v>
      </c>
      <c r="H74" s="464">
        <v>753378.86</v>
      </c>
      <c r="I74" s="452">
        <f t="shared" si="30"/>
        <v>-80049.890000000014</v>
      </c>
      <c r="J74" s="221">
        <f t="shared" si="31"/>
        <v>-9.6048870404338724E-2</v>
      </c>
      <c r="K74" s="191"/>
      <c r="L74" s="642">
        <v>833428.75</v>
      </c>
      <c r="M74" s="451">
        <f>2184539.03-H74-C74</f>
        <v>818709.04999999993</v>
      </c>
      <c r="N74" s="452">
        <f t="shared" si="32"/>
        <v>-14719.70000000007</v>
      </c>
      <c r="O74" s="222">
        <f>IF(ISERROR(N74/L74),"-",N74/L74)</f>
        <v>-1.7661617744768307E-2</v>
      </c>
      <c r="P74" s="191"/>
      <c r="Q74" s="450">
        <v>833428.75</v>
      </c>
      <c r="R74" s="450">
        <v>654631.16000000027</v>
      </c>
      <c r="S74" s="452">
        <f t="shared" si="34"/>
        <v>-178797.58999999973</v>
      </c>
      <c r="T74" s="223">
        <f>IF(ISERROR(S74/Q74),"-",S74/Q74)</f>
        <v>-0.21453254402370897</v>
      </c>
      <c r="U74" s="191"/>
      <c r="V74" s="450">
        <f t="shared" si="40"/>
        <v>3333715</v>
      </c>
      <c r="W74" s="451">
        <f t="shared" si="41"/>
        <v>2839170.19</v>
      </c>
      <c r="X74" s="452">
        <f t="shared" si="36"/>
        <v>-494544.81000000006</v>
      </c>
      <c r="Y74" s="222">
        <f t="shared" si="37"/>
        <v>-0.14834645733063567</v>
      </c>
      <c r="Z74" s="188"/>
      <c r="AA74" s="450">
        <v>3333715</v>
      </c>
      <c r="AB74" s="451">
        <f t="shared" si="38"/>
        <v>494544.81000000006</v>
      </c>
      <c r="AC74" s="222">
        <f t="shared" si="39"/>
        <v>0.14834645733063567</v>
      </c>
      <c r="AD74" s="191"/>
      <c r="AE74" s="189"/>
    </row>
    <row r="75" spans="1:31" x14ac:dyDescent="0.3">
      <c r="A75" s="276" t="s">
        <v>120</v>
      </c>
      <c r="B75" s="450">
        <v>0</v>
      </c>
      <c r="C75" s="450">
        <v>0</v>
      </c>
      <c r="D75" s="452">
        <f t="shared" si="28"/>
        <v>0</v>
      </c>
      <c r="E75" s="220" t="str">
        <f t="shared" si="29"/>
        <v>-</v>
      </c>
      <c r="F75" s="191"/>
      <c r="G75" s="463">
        <v>0</v>
      </c>
      <c r="H75" s="450">
        <v>0</v>
      </c>
      <c r="I75" s="452">
        <f t="shared" si="30"/>
        <v>0</v>
      </c>
      <c r="J75" s="221" t="str">
        <f t="shared" si="31"/>
        <v>-</v>
      </c>
      <c r="K75" s="191"/>
      <c r="L75" s="962">
        <v>0</v>
      </c>
      <c r="M75" s="962">
        <v>0</v>
      </c>
      <c r="N75" s="452">
        <f t="shared" si="32"/>
        <v>0</v>
      </c>
      <c r="O75" s="222" t="str">
        <f>IF(ISERROR(N75/L75),"-",N75/L75)</f>
        <v>-</v>
      </c>
      <c r="P75" s="191"/>
      <c r="Q75" s="450">
        <v>0</v>
      </c>
      <c r="R75" s="450">
        <v>0</v>
      </c>
      <c r="S75" s="452">
        <f t="shared" si="34"/>
        <v>0</v>
      </c>
      <c r="T75" s="223" t="str">
        <f>IF(ISERROR(S75/Q75),"-",S75/Q75)</f>
        <v>-</v>
      </c>
      <c r="U75" s="191"/>
      <c r="V75" s="450">
        <f t="shared" si="40"/>
        <v>0</v>
      </c>
      <c r="W75" s="451">
        <f t="shared" si="41"/>
        <v>0</v>
      </c>
      <c r="X75" s="452">
        <f t="shared" si="36"/>
        <v>0</v>
      </c>
      <c r="Y75" s="222" t="str">
        <f t="shared" si="37"/>
        <v>-</v>
      </c>
      <c r="Z75" s="188"/>
      <c r="AA75" s="450">
        <v>0</v>
      </c>
      <c r="AB75" s="451">
        <f t="shared" si="38"/>
        <v>0</v>
      </c>
      <c r="AC75" s="222" t="str">
        <f t="shared" si="39"/>
        <v>-</v>
      </c>
      <c r="AD75" s="191"/>
      <c r="AE75" s="189"/>
    </row>
    <row r="76" spans="1:31" x14ac:dyDescent="0.3">
      <c r="A76" s="199" t="s">
        <v>102</v>
      </c>
      <c r="B76" s="469">
        <f>SUM(B43:B75)</f>
        <v>3477949</v>
      </c>
      <c r="C76" s="470">
        <f>SUM(C43:C75)</f>
        <v>2378377.35</v>
      </c>
      <c r="D76" s="470">
        <f>SUM(D43:D75)</f>
        <v>-1099571.6499999999</v>
      </c>
      <c r="E76" s="237">
        <f t="shared" si="29"/>
        <v>-0.31615519664031871</v>
      </c>
      <c r="F76" s="203"/>
      <c r="G76" s="469">
        <f>SUM(G43:G75)</f>
        <v>3477949</v>
      </c>
      <c r="H76" s="470">
        <f>SUM(H43:H75)</f>
        <v>2160847.2799999998</v>
      </c>
      <c r="I76" s="470">
        <f>SUM(I43:I75)</f>
        <v>-1317101.7200000002</v>
      </c>
      <c r="J76" s="237">
        <f>IF(ISERROR(I76/G76),"-",I76/G76)</f>
        <v>-0.37870069975149151</v>
      </c>
      <c r="K76" s="203"/>
      <c r="L76" s="469">
        <f>SUM(L43:L75)</f>
        <v>3477949</v>
      </c>
      <c r="M76" s="470">
        <f>SUM(M43:M75)</f>
        <v>2647730.48</v>
      </c>
      <c r="N76" s="470">
        <f>SUM(N43:N75)</f>
        <v>-830218.52000000037</v>
      </c>
      <c r="O76" s="237">
        <f>IF(ISERROR(N76/L76),"-",N76/L76)</f>
        <v>-0.23870922776613468</v>
      </c>
      <c r="P76" s="203"/>
      <c r="Q76" s="469">
        <f>SUM(Q43:Q75)</f>
        <v>3477949</v>
      </c>
      <c r="R76" s="470">
        <f>SUM(R43:R75)</f>
        <v>5088028.1800000006</v>
      </c>
      <c r="S76" s="470">
        <f>SUM(S43:S75)</f>
        <v>1610079.1800000006</v>
      </c>
      <c r="T76" s="237">
        <f>IF(ISERROR(S76/Q76),"-",S76/Q76)</f>
        <v>0.46293927254252454</v>
      </c>
      <c r="U76" s="203"/>
      <c r="V76" s="469">
        <f>SUM(V44:V75)</f>
        <v>13911796</v>
      </c>
      <c r="W76" s="470">
        <f>SUM(W43:W75)</f>
        <v>12274983.290000001</v>
      </c>
      <c r="X76" s="470">
        <f>SUM(X43:X75)</f>
        <v>-1636812.7100000004</v>
      </c>
      <c r="Y76" s="237">
        <f>IF(ISERROR(X76/V76),"-",X76/V76)</f>
        <v>-0.11765646290385515</v>
      </c>
      <c r="Z76" s="203"/>
      <c r="AA76" s="469">
        <f>SUM(AA44:AA75)</f>
        <v>13911796</v>
      </c>
      <c r="AB76" s="470">
        <f>SUM(AB43:AB75)</f>
        <v>1636812.7100000004</v>
      </c>
      <c r="AC76" s="237">
        <f t="shared" si="39"/>
        <v>0.11765646290385515</v>
      </c>
      <c r="AD76" s="203"/>
      <c r="AE76" s="209"/>
    </row>
    <row r="77" spans="1:31" x14ac:dyDescent="0.3">
      <c r="A77" s="277"/>
      <c r="B77" s="486"/>
      <c r="C77" s="487"/>
      <c r="D77" s="487"/>
      <c r="E77" s="280"/>
      <c r="F77" s="175"/>
      <c r="G77" s="488"/>
      <c r="H77" s="489"/>
      <c r="I77" s="489"/>
      <c r="J77" s="292"/>
      <c r="K77" s="175"/>
      <c r="L77" s="981"/>
      <c r="M77" s="980"/>
      <c r="N77" s="980"/>
      <c r="O77" s="284"/>
      <c r="P77" s="175"/>
      <c r="Q77" s="488"/>
      <c r="R77" s="489"/>
      <c r="S77" s="489"/>
      <c r="T77" s="285"/>
      <c r="U77" s="175"/>
      <c r="V77" s="490"/>
      <c r="W77" s="491"/>
      <c r="X77" s="487"/>
      <c r="Y77" s="284"/>
      <c r="Z77" s="175"/>
      <c r="AA77" s="490"/>
      <c r="AB77" s="487"/>
      <c r="AC77" s="284"/>
      <c r="AD77" s="175"/>
      <c r="AE77" s="189"/>
    </row>
    <row r="78" spans="1:31" ht="19.5" thickBot="1" x14ac:dyDescent="0.35">
      <c r="A78" s="199" t="s">
        <v>103</v>
      </c>
      <c r="B78" s="469">
        <f>B41+B76+B77</f>
        <v>9792942.25</v>
      </c>
      <c r="C78" s="470">
        <f>C41+C76+C77</f>
        <v>8110704.5600000005</v>
      </c>
      <c r="D78" s="470">
        <f>D41+D76+D77</f>
        <v>-1682237.6899999997</v>
      </c>
      <c r="E78" s="237">
        <f>IF(ISERROR(D78/B78),"-",D78/B78)</f>
        <v>-0.17178061986427007</v>
      </c>
      <c r="F78" s="256"/>
      <c r="G78" s="469">
        <f>G41+G76+G77</f>
        <v>9659492.25</v>
      </c>
      <c r="H78" s="470">
        <f>H41+H76+H77</f>
        <v>8160937.8000000007</v>
      </c>
      <c r="I78" s="470">
        <f>I41+I76+I77</f>
        <v>-1498554.4499999997</v>
      </c>
      <c r="J78" s="237">
        <f>IF(ISERROR(I78/G78),"-",I78/G78)</f>
        <v>-0.15513801463011678</v>
      </c>
      <c r="K78" s="256"/>
      <c r="L78" s="469">
        <f>L41+L76+L77</f>
        <v>9659492.25</v>
      </c>
      <c r="M78" s="470">
        <f>M41+M76+M77</f>
        <v>8651666.7799999993</v>
      </c>
      <c r="N78" s="470">
        <f>N41+N76+N77</f>
        <v>-1007825.4700000018</v>
      </c>
      <c r="O78" s="237">
        <f>IF(ISERROR(N78/L78),"-",N78/L78)</f>
        <v>-0.1043352428798731</v>
      </c>
      <c r="P78" s="256"/>
      <c r="Q78" s="469">
        <f>Q41+Q76+Q77</f>
        <v>9659492.25</v>
      </c>
      <c r="R78" s="470">
        <f>R41+R76+R77</f>
        <v>12844342.800000003</v>
      </c>
      <c r="S78" s="470">
        <f>S41+S76+S77</f>
        <v>3184850.5500000026</v>
      </c>
      <c r="T78" s="237">
        <f>IF(ISERROR(S78/Q78),"-",S78/Q78)</f>
        <v>0.32971200427227454</v>
      </c>
      <c r="U78" s="256"/>
      <c r="V78" s="469">
        <f>V41+V76</f>
        <v>38771419</v>
      </c>
      <c r="W78" s="470">
        <f>W41+W76+W77</f>
        <v>37767651.940000005</v>
      </c>
      <c r="X78" s="470">
        <f>X41+X76+X77</f>
        <v>-1003767.0599999991</v>
      </c>
      <c r="Y78" s="237">
        <f>IF(ISERROR(X78/V78),"-",X78/V78)</f>
        <v>-2.5889355764874097E-2</v>
      </c>
      <c r="Z78" s="256"/>
      <c r="AA78" s="469">
        <f>AA41+AA76</f>
        <v>38771419</v>
      </c>
      <c r="AB78" s="470">
        <f>AB41+AB76+AB77</f>
        <v>1003767.0599999991</v>
      </c>
      <c r="AC78" s="237">
        <f>IF(ISERROR(AB78/AA78),"-",AB78/AA78)</f>
        <v>2.5889355764874097E-2</v>
      </c>
      <c r="AD78" s="256"/>
      <c r="AE78" s="209"/>
    </row>
    <row r="79" spans="1:31" ht="38.25" thickBot="1" x14ac:dyDescent="0.35">
      <c r="A79" s="288" t="s">
        <v>170</v>
      </c>
      <c r="B79" s="486">
        <f>B25-B78</f>
        <v>573351</v>
      </c>
      <c r="C79" s="486">
        <f>C25-C78</f>
        <v>2439185.75</v>
      </c>
      <c r="D79" s="486">
        <f>D25-D78</f>
        <v>1865834.7500000005</v>
      </c>
      <c r="E79" s="289"/>
      <c r="F79" s="290">
        <f>F25-F78</f>
        <v>0</v>
      </c>
      <c r="G79" s="486">
        <f>G25-G78</f>
        <v>706801</v>
      </c>
      <c r="H79" s="486">
        <f>H25-H78</f>
        <v>2348923.959999999</v>
      </c>
      <c r="I79" s="486">
        <f>I25-I78</f>
        <v>1642122.959999999</v>
      </c>
      <c r="J79" s="290"/>
      <c r="K79" s="290">
        <f>K25-K78</f>
        <v>0</v>
      </c>
      <c r="L79" s="486">
        <f>L25-L78</f>
        <v>706801</v>
      </c>
      <c r="M79" s="486">
        <f>M25-M78</f>
        <v>1413830.0399999991</v>
      </c>
      <c r="N79" s="486">
        <f>N25-N78</f>
        <v>707029.04000000015</v>
      </c>
      <c r="O79" s="290"/>
      <c r="P79" s="290">
        <f>P25-P78</f>
        <v>0</v>
      </c>
      <c r="Q79" s="486">
        <f>Q25-Q78</f>
        <v>706801</v>
      </c>
      <c r="R79" s="486">
        <f>R25-R78</f>
        <v>1453532.889999995</v>
      </c>
      <c r="S79" s="486">
        <f>S25-S78</f>
        <v>746731.8899999978</v>
      </c>
      <c r="T79" s="290"/>
      <c r="U79" s="290">
        <f>U25-U78</f>
        <v>0</v>
      </c>
      <c r="V79" s="488">
        <f>V25-V78</f>
        <v>2693754</v>
      </c>
      <c r="W79" s="486">
        <f>W25-W78</f>
        <v>7655472.6399999857</v>
      </c>
      <c r="X79" s="486">
        <f>X25-X78</f>
        <v>4961718.639999995</v>
      </c>
      <c r="Y79" s="290"/>
      <c r="Z79" s="290">
        <f>Z25-Z78</f>
        <v>0</v>
      </c>
      <c r="AA79" s="488">
        <f>AA25-AA78</f>
        <v>2693754</v>
      </c>
      <c r="AB79" s="486">
        <f>AB25-AB78</f>
        <v>-4961718.639999995</v>
      </c>
      <c r="AC79" s="290"/>
      <c r="AD79" s="175"/>
      <c r="AE79" s="189"/>
    </row>
    <row r="80" spans="1:31" ht="33" customHeight="1" thickBot="1" x14ac:dyDescent="0.35">
      <c r="A80" s="291" t="s">
        <v>171</v>
      </c>
      <c r="B80" s="486"/>
      <c r="C80" s="487"/>
      <c r="D80" s="487">
        <f>C80-B80</f>
        <v>0</v>
      </c>
      <c r="E80" s="280"/>
      <c r="F80" s="175"/>
      <c r="G80" s="488"/>
      <c r="H80" s="489"/>
      <c r="I80" s="487">
        <f>H80-G80</f>
        <v>0</v>
      </c>
      <c r="J80" s="292"/>
      <c r="K80" s="175"/>
      <c r="L80" s="486"/>
      <c r="M80" s="487"/>
      <c r="N80" s="487">
        <f>M80-L80</f>
        <v>0</v>
      </c>
      <c r="O80" s="284"/>
      <c r="P80" s="175"/>
      <c r="Q80" s="488"/>
      <c r="R80" s="489"/>
      <c r="S80" s="487">
        <f>R80-Q80</f>
        <v>0</v>
      </c>
      <c r="T80" s="292"/>
      <c r="U80" s="175"/>
      <c r="V80" s="490"/>
      <c r="W80" s="491"/>
      <c r="X80" s="487"/>
      <c r="Y80" s="284"/>
      <c r="Z80" s="175"/>
      <c r="AA80" s="490"/>
      <c r="AB80" s="487"/>
      <c r="AC80" s="284"/>
      <c r="AD80" s="175"/>
      <c r="AE80" s="189"/>
    </row>
    <row r="81" spans="1:31" ht="38.25" thickBot="1" x14ac:dyDescent="0.35">
      <c r="A81" s="293" t="s">
        <v>172</v>
      </c>
      <c r="B81" s="486">
        <f>B79-B80</f>
        <v>573351</v>
      </c>
      <c r="C81" s="486">
        <f t="shared" ref="C81:AA81" si="42">C79-C80</f>
        <v>2439185.75</v>
      </c>
      <c r="D81" s="486">
        <f t="shared" si="42"/>
        <v>1865834.7500000005</v>
      </c>
      <c r="E81" s="289">
        <f>E79-E80</f>
        <v>0</v>
      </c>
      <c r="F81" s="290">
        <f t="shared" si="42"/>
        <v>0</v>
      </c>
      <c r="G81" s="486">
        <f t="shared" si="42"/>
        <v>706801</v>
      </c>
      <c r="H81" s="486">
        <f t="shared" si="42"/>
        <v>2348923.959999999</v>
      </c>
      <c r="I81" s="486">
        <f t="shared" si="42"/>
        <v>1642122.959999999</v>
      </c>
      <c r="J81" s="290">
        <f>J79-J80</f>
        <v>0</v>
      </c>
      <c r="K81" s="290">
        <f t="shared" si="42"/>
        <v>0</v>
      </c>
      <c r="L81" s="486">
        <f t="shared" si="42"/>
        <v>706801</v>
      </c>
      <c r="M81" s="486">
        <f t="shared" si="42"/>
        <v>1413830.0399999991</v>
      </c>
      <c r="N81" s="486">
        <f t="shared" si="42"/>
        <v>707029.04000000015</v>
      </c>
      <c r="O81" s="290">
        <f t="shared" si="42"/>
        <v>0</v>
      </c>
      <c r="P81" s="290">
        <f t="shared" si="42"/>
        <v>0</v>
      </c>
      <c r="Q81" s="486">
        <f t="shared" si="42"/>
        <v>706801</v>
      </c>
      <c r="R81" s="486">
        <f t="shared" si="42"/>
        <v>1453532.889999995</v>
      </c>
      <c r="S81" s="486">
        <f t="shared" si="42"/>
        <v>746731.8899999978</v>
      </c>
      <c r="T81" s="290">
        <f t="shared" si="42"/>
        <v>0</v>
      </c>
      <c r="U81" s="290">
        <f t="shared" si="42"/>
        <v>0</v>
      </c>
      <c r="V81" s="486">
        <f>V79-V80</f>
        <v>2693754</v>
      </c>
      <c r="W81" s="486">
        <f t="shared" si="42"/>
        <v>7655472.6399999857</v>
      </c>
      <c r="X81" s="486">
        <f t="shared" si="42"/>
        <v>4961718.639999995</v>
      </c>
      <c r="Y81" s="290">
        <f t="shared" si="42"/>
        <v>0</v>
      </c>
      <c r="Z81" s="290">
        <f t="shared" si="42"/>
        <v>0</v>
      </c>
      <c r="AA81" s="486">
        <f t="shared" si="42"/>
        <v>2693754</v>
      </c>
      <c r="AB81" s="486">
        <f>AB79-AB80</f>
        <v>-4961718.639999995</v>
      </c>
      <c r="AC81" s="290">
        <f>AC79-AC80</f>
        <v>0</v>
      </c>
      <c r="AD81" s="175"/>
      <c r="AE81" s="189"/>
    </row>
    <row r="82" spans="1:31" ht="25.5" customHeight="1" x14ac:dyDescent="0.3">
      <c r="A82" s="172" t="s">
        <v>104</v>
      </c>
      <c r="B82" s="450"/>
      <c r="C82" s="451"/>
      <c r="D82" s="451">
        <f>B82-C82</f>
        <v>0</v>
      </c>
      <c r="E82" s="220" t="str">
        <f>IF(ISERROR(D82/B82),"-",D82/B82)</f>
        <v>-</v>
      </c>
      <c r="F82" s="256"/>
      <c r="G82" s="463"/>
      <c r="H82" s="464"/>
      <c r="I82" s="464">
        <f>G82-H82</f>
        <v>0</v>
      </c>
      <c r="J82" s="295" t="str">
        <f>IF(ISERROR(I82/G82),"-",I82/G82)</f>
        <v>-</v>
      </c>
      <c r="K82" s="256"/>
      <c r="L82" s="450"/>
      <c r="M82" s="451"/>
      <c r="N82" s="451">
        <f>L82-M82</f>
        <v>0</v>
      </c>
      <c r="O82" s="294" t="str">
        <f>IF(ISERROR(N82/L82),"-",N82/L82)</f>
        <v>-</v>
      </c>
      <c r="P82" s="256"/>
      <c r="Q82" s="463"/>
      <c r="R82" s="464"/>
      <c r="S82" s="464">
        <f>Q82-R82</f>
        <v>0</v>
      </c>
      <c r="T82" s="295" t="str">
        <f>IF(ISERROR(S82/Q82),"-",S82/Q82)</f>
        <v>-</v>
      </c>
      <c r="U82" s="256"/>
      <c r="V82" s="450">
        <f>B82+G82+L82+Q82</f>
        <v>0</v>
      </c>
      <c r="W82" s="451">
        <f>C82+H82+M82+R82</f>
        <v>0</v>
      </c>
      <c r="X82" s="451">
        <f>V82-W82</f>
        <v>0</v>
      </c>
      <c r="Y82" s="294" t="str">
        <f>IF(ISERROR(X82/V82),"-",X82/V82)</f>
        <v>-</v>
      </c>
      <c r="Z82" s="256"/>
      <c r="AA82" s="450">
        <f>G82+L82+Q82+V82</f>
        <v>0</v>
      </c>
      <c r="AB82" s="451">
        <f>AA82-W82</f>
        <v>0</v>
      </c>
      <c r="AC82" s="294" t="str">
        <f>IF(ISERROR(AB82/AA82),"-",AB82/AA82)</f>
        <v>-</v>
      </c>
      <c r="AD82" s="256"/>
      <c r="AE82" s="189"/>
    </row>
    <row r="83" spans="1:31" ht="29.25" customHeight="1" thickBot="1" x14ac:dyDescent="0.35">
      <c r="A83" s="296" t="s">
        <v>105</v>
      </c>
      <c r="B83" s="492">
        <f>B81-B82</f>
        <v>573351</v>
      </c>
      <c r="C83" s="492">
        <f>C81-C82</f>
        <v>2439185.75</v>
      </c>
      <c r="D83" s="493">
        <f>C83-B83</f>
        <v>1865834.75</v>
      </c>
      <c r="E83" s="299">
        <f>IF(ISERROR(D83/B83),"-",D83/B83)</f>
        <v>3.2542626593482877</v>
      </c>
      <c r="F83" s="300"/>
      <c r="G83" s="492">
        <f>G81-G82</f>
        <v>706801</v>
      </c>
      <c r="H83" s="492">
        <f>H81-H82</f>
        <v>2348923.959999999</v>
      </c>
      <c r="I83" s="493">
        <f>H83-G83</f>
        <v>1642122.959999999</v>
      </c>
      <c r="J83" s="299">
        <f>IF(ISERROR(I83/G83),"-",I83/G83)</f>
        <v>2.3233172562008244</v>
      </c>
      <c r="K83" s="300"/>
      <c r="L83" s="492">
        <f>L81-L82</f>
        <v>706801</v>
      </c>
      <c r="M83" s="492">
        <f>M81-M82</f>
        <v>1413830.0399999991</v>
      </c>
      <c r="N83" s="493">
        <f>M83-L83</f>
        <v>707029.03999999911</v>
      </c>
      <c r="O83" s="299">
        <f>IF(ISERROR(N83/L83),"-",N83/L83)</f>
        <v>1.0003226367817803</v>
      </c>
      <c r="P83" s="300"/>
      <c r="Q83" s="492">
        <f>Q81-Q82</f>
        <v>706801</v>
      </c>
      <c r="R83" s="492">
        <f>R81-R82</f>
        <v>1453532.889999995</v>
      </c>
      <c r="S83" s="493">
        <f>R83-Q83</f>
        <v>746731.88999999501</v>
      </c>
      <c r="T83" s="299">
        <f>IF(ISERROR(S83/Q83),"-",S83/Q83)</f>
        <v>1.0564952369903198</v>
      </c>
      <c r="U83" s="300"/>
      <c r="V83" s="494">
        <f>V81-V82</f>
        <v>2693754</v>
      </c>
      <c r="W83" s="494">
        <f>W81-W82</f>
        <v>7655472.6399999857</v>
      </c>
      <c r="X83" s="493">
        <f>W83-V83</f>
        <v>4961718.6399999857</v>
      </c>
      <c r="Y83" s="303">
        <f>IF(ISERROR(X83/V83),"-",X83/V83)</f>
        <v>1.841934579029854</v>
      </c>
      <c r="Z83" s="300"/>
      <c r="AA83" s="494">
        <f>AA81-AA82</f>
        <v>2693754</v>
      </c>
      <c r="AB83" s="494">
        <f>AB81-AB82</f>
        <v>-4961718.639999995</v>
      </c>
      <c r="AC83" s="303">
        <f>IF(ISERROR(AB83/AA83),"-",AB83/AA83)</f>
        <v>-1.8419345790298576</v>
      </c>
      <c r="AE83" s="189"/>
    </row>
  </sheetData>
  <sheetProtection algorithmName="SHA-512" hashValue="g2rslCxGOGxWzgYLYtP5vlmfga5VK/POQUKt0DEgTfjofnznyqbF1e/6LXtCSuI94mxjLB2tGCWouyieTnIJoA==" saltValue="D1l3ETLBlRHXxU7mP7GAig==" spinCount="100000" sheet="1" objects="1" scenarios="1"/>
  <mergeCells count="19">
    <mergeCell ref="A7:H7"/>
    <mergeCell ref="A1:H1"/>
    <mergeCell ref="A3:H3"/>
    <mergeCell ref="A4:H4"/>
    <mergeCell ref="A5:H5"/>
    <mergeCell ref="A6:H6"/>
    <mergeCell ref="AE9:AE11"/>
    <mergeCell ref="D10:E10"/>
    <mergeCell ref="I10:J10"/>
    <mergeCell ref="N10:O10"/>
    <mergeCell ref="S10:T10"/>
    <mergeCell ref="X10:Y10"/>
    <mergeCell ref="AB10:AC10"/>
    <mergeCell ref="B9:E9"/>
    <mergeCell ref="G9:J9"/>
    <mergeCell ref="L9:O9"/>
    <mergeCell ref="Q9:T9"/>
    <mergeCell ref="V9:Y9"/>
    <mergeCell ref="AA9:AC9"/>
  </mergeCells>
  <conditionalFormatting sqref="E56">
    <cfRule type="cellIs" dxfId="1" priority="1" stopIfTrue="1" operator="equal">
      <formula>""""""</formula>
    </cfRule>
  </conditionalFormatting>
  <pageMargins left="0.7" right="0.7" top="0.75" bottom="0.75" header="0.3" footer="0.3"/>
  <pageSetup paperSize="17" scale="44" fitToHeight="0" orientation="landscape" horizontalDpi="300" verticalDpi="300"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tint="0.59999389629810485"/>
    <pageSetUpPr fitToPage="1"/>
  </sheetPr>
  <dimension ref="A1:F76"/>
  <sheetViews>
    <sheetView zoomScale="80" zoomScaleNormal="80" workbookViewId="0">
      <selection activeCell="G26" sqref="G26"/>
    </sheetView>
  </sheetViews>
  <sheetFormatPr defaultColWidth="8.85546875" defaultRowHeight="15.75" customHeight="1" x14ac:dyDescent="0.3"/>
  <cols>
    <col min="1" max="1" width="49.42578125" style="49" customWidth="1"/>
    <col min="2" max="2" width="14.5703125" style="414" customWidth="1"/>
    <col min="3" max="3" width="16.85546875" style="414" customWidth="1"/>
    <col min="4" max="4" width="18.140625" style="414" customWidth="1"/>
    <col min="5" max="5" width="17" style="414" customWidth="1"/>
    <col min="6" max="6" width="17.42578125" style="414" customWidth="1"/>
    <col min="7" max="231" width="8.85546875" style="49" customWidth="1"/>
    <col min="232" max="16384" width="8.85546875" style="49"/>
  </cols>
  <sheetData>
    <row r="1" spans="1:6" ht="18.75" customHeight="1" x14ac:dyDescent="0.3">
      <c r="A1" s="1418" t="s">
        <v>49</v>
      </c>
      <c r="B1" s="1419"/>
      <c r="C1" s="1419"/>
      <c r="D1" s="1419"/>
      <c r="E1" s="1419"/>
      <c r="F1" s="1419"/>
    </row>
    <row r="2" spans="1:6" ht="18.75" customHeight="1" x14ac:dyDescent="0.3">
      <c r="A2" s="50"/>
      <c r="B2" s="357"/>
      <c r="C2" s="357"/>
      <c r="D2" s="357"/>
      <c r="E2" s="357"/>
      <c r="F2" s="357"/>
    </row>
    <row r="3" spans="1:6" s="52" customFormat="1" ht="18.75" customHeight="1" x14ac:dyDescent="0.3">
      <c r="A3" s="1420" t="s">
        <v>191</v>
      </c>
      <c r="B3" s="1421"/>
      <c r="C3" s="1421"/>
      <c r="D3" s="1421"/>
      <c r="E3" s="1421"/>
      <c r="F3" s="1421"/>
    </row>
    <row r="4" spans="1:6" ht="18.75" customHeight="1" x14ac:dyDescent="0.3">
      <c r="A4" s="1422" t="s">
        <v>0</v>
      </c>
      <c r="B4" s="1423"/>
      <c r="C4" s="1423"/>
      <c r="D4" s="1423"/>
      <c r="E4" s="1423"/>
      <c r="F4" s="1423"/>
    </row>
    <row r="5" spans="1:6" ht="18.75" customHeight="1" x14ac:dyDescent="0.3">
      <c r="A5" s="1422" t="s">
        <v>1</v>
      </c>
      <c r="B5" s="1424"/>
      <c r="C5" s="1424"/>
      <c r="D5" s="1424"/>
      <c r="E5" s="1424"/>
      <c r="F5" s="1424"/>
    </row>
    <row r="6" spans="1:6" ht="18.75" customHeight="1" x14ac:dyDescent="0.3">
      <c r="A6" s="1420" t="s">
        <v>194</v>
      </c>
      <c r="B6" s="1425"/>
      <c r="C6" s="1425"/>
      <c r="D6" s="1425"/>
      <c r="E6" s="1425"/>
      <c r="F6" s="1425"/>
    </row>
    <row r="7" spans="1:6" ht="18.75" customHeight="1" x14ac:dyDescent="0.3">
      <c r="A7" s="1416" t="s">
        <v>2</v>
      </c>
      <c r="B7" s="1417"/>
      <c r="C7" s="1417"/>
      <c r="D7" s="1417"/>
      <c r="E7" s="1417"/>
      <c r="F7" s="1417"/>
    </row>
    <row r="8" spans="1:6" ht="16.5" customHeight="1" thickBot="1" x14ac:dyDescent="0.35">
      <c r="A8" s="309"/>
      <c r="B8" s="358"/>
      <c r="C8" s="359"/>
      <c r="D8" s="358"/>
      <c r="E8" s="359"/>
      <c r="F8" s="358"/>
    </row>
    <row r="9" spans="1:6" ht="17.45" customHeight="1" x14ac:dyDescent="0.3">
      <c r="A9" s="312"/>
      <c r="B9" s="576" t="s">
        <v>164</v>
      </c>
      <c r="C9" s="577" t="s">
        <v>165</v>
      </c>
      <c r="D9" s="576" t="s">
        <v>166</v>
      </c>
      <c r="E9" s="577" t="s">
        <v>167</v>
      </c>
      <c r="F9" s="576" t="s">
        <v>3</v>
      </c>
    </row>
    <row r="10" spans="1:6" ht="15" customHeight="1" x14ac:dyDescent="0.3">
      <c r="A10" s="314"/>
      <c r="B10" s="59">
        <v>44927</v>
      </c>
      <c r="C10" s="315">
        <v>45016</v>
      </c>
      <c r="D10" s="59">
        <v>45107</v>
      </c>
      <c r="E10" s="315">
        <v>45199</v>
      </c>
      <c r="F10" s="59">
        <v>45291</v>
      </c>
    </row>
    <row r="11" spans="1:6" ht="15" customHeight="1" thickBot="1" x14ac:dyDescent="0.35">
      <c r="A11" s="316"/>
      <c r="B11" s="578" t="s">
        <v>107</v>
      </c>
      <c r="C11" s="579" t="s">
        <v>107</v>
      </c>
      <c r="D11" s="578" t="s">
        <v>107</v>
      </c>
      <c r="E11" s="579" t="s">
        <v>107</v>
      </c>
      <c r="F11" s="578" t="s">
        <v>107</v>
      </c>
    </row>
    <row r="12" spans="1:6" ht="15" customHeight="1" x14ac:dyDescent="0.3">
      <c r="A12" s="319" t="s">
        <v>4</v>
      </c>
      <c r="B12" s="369"/>
      <c r="C12" s="368"/>
      <c r="D12" s="369"/>
      <c r="E12" s="368"/>
      <c r="F12" s="369"/>
    </row>
    <row r="13" spans="1:6" ht="15" customHeight="1" x14ac:dyDescent="0.3">
      <c r="A13" s="322" t="s">
        <v>5</v>
      </c>
      <c r="B13" s="371"/>
      <c r="C13" s="373"/>
      <c r="D13" s="371"/>
      <c r="E13" s="373"/>
      <c r="F13" s="371"/>
    </row>
    <row r="14" spans="1:6" ht="15" customHeight="1" x14ac:dyDescent="0.3">
      <c r="A14" s="324" t="s">
        <v>6</v>
      </c>
      <c r="B14" s="1185">
        <v>0.40662977</v>
      </c>
      <c r="C14" s="1186">
        <v>0.46095638999999999</v>
      </c>
      <c r="D14" s="1185">
        <v>0.44098066999999996</v>
      </c>
      <c r="E14" s="1186">
        <v>0</v>
      </c>
      <c r="F14" s="1185">
        <v>0</v>
      </c>
    </row>
    <row r="15" spans="1:6" ht="15" customHeight="1" x14ac:dyDescent="0.3">
      <c r="A15" s="325" t="s">
        <v>7</v>
      </c>
      <c r="B15" s="1185">
        <v>8.5251019999999553E-2</v>
      </c>
      <c r="C15" s="1186">
        <v>8.5251019999999553E-2</v>
      </c>
      <c r="D15" s="1185">
        <v>8.5251019999999553E-2</v>
      </c>
      <c r="E15" s="1186">
        <v>0</v>
      </c>
      <c r="F15" s="1185">
        <v>0</v>
      </c>
    </row>
    <row r="16" spans="1:6" ht="15" customHeight="1" x14ac:dyDescent="0.3">
      <c r="A16" s="325" t="s">
        <v>8</v>
      </c>
      <c r="B16" s="1185">
        <v>0</v>
      </c>
      <c r="C16" s="1186">
        <v>0</v>
      </c>
      <c r="D16" s="1185">
        <v>0</v>
      </c>
      <c r="E16" s="1186">
        <v>0</v>
      </c>
      <c r="F16" s="1185">
        <v>0</v>
      </c>
    </row>
    <row r="17" spans="1:6" ht="15" customHeight="1" x14ac:dyDescent="0.3">
      <c r="A17" s="325" t="s">
        <v>9</v>
      </c>
      <c r="B17" s="1185">
        <v>0</v>
      </c>
      <c r="C17" s="1186">
        <v>0</v>
      </c>
      <c r="D17" s="1185">
        <v>0</v>
      </c>
      <c r="E17" s="1186">
        <v>0</v>
      </c>
      <c r="F17" s="1185">
        <v>0</v>
      </c>
    </row>
    <row r="18" spans="1:6" ht="15" customHeight="1" x14ac:dyDescent="0.3">
      <c r="A18" s="325" t="s">
        <v>10</v>
      </c>
      <c r="B18" s="1185">
        <v>1.325134E-2</v>
      </c>
      <c r="C18" s="1186">
        <v>1.325134E-2</v>
      </c>
      <c r="D18" s="1185">
        <v>1.325134E-2</v>
      </c>
      <c r="E18" s="1186">
        <v>0</v>
      </c>
      <c r="F18" s="1185">
        <v>0</v>
      </c>
    </row>
    <row r="19" spans="1:6" ht="15" customHeight="1" x14ac:dyDescent="0.3">
      <c r="A19" s="326" t="s">
        <v>11</v>
      </c>
      <c r="B19" s="1185">
        <v>0.66521388000000004</v>
      </c>
      <c r="C19" s="1186">
        <v>0.69713806999999994</v>
      </c>
      <c r="D19" s="1185">
        <v>0.70029706999999997</v>
      </c>
      <c r="E19" s="1186">
        <v>0</v>
      </c>
      <c r="F19" s="1185">
        <v>0</v>
      </c>
    </row>
    <row r="20" spans="1:6" ht="15" customHeight="1" x14ac:dyDescent="0.3">
      <c r="A20" s="327" t="s">
        <v>12</v>
      </c>
      <c r="B20" s="1187">
        <f>SUM(B14:B19)</f>
        <v>1.1703460099999996</v>
      </c>
      <c r="C20" s="1187">
        <f t="shared" ref="C20:F20" si="0">SUM(C14:C19)</f>
        <v>1.2565968199999995</v>
      </c>
      <c r="D20" s="1187">
        <f t="shared" si="0"/>
        <v>1.2397800999999995</v>
      </c>
      <c r="E20" s="1187">
        <f t="shared" si="0"/>
        <v>0</v>
      </c>
      <c r="F20" s="1187">
        <f t="shared" si="0"/>
        <v>0</v>
      </c>
    </row>
    <row r="21" spans="1:6" ht="15" customHeight="1" x14ac:dyDescent="0.3">
      <c r="A21" s="328"/>
      <c r="B21" s="1188"/>
      <c r="C21" s="1189"/>
      <c r="D21" s="1188"/>
      <c r="E21" s="1189"/>
      <c r="F21" s="1188"/>
    </row>
    <row r="22" spans="1:6" ht="15" customHeight="1" x14ac:dyDescent="0.3">
      <c r="A22" s="329" t="s">
        <v>13</v>
      </c>
      <c r="B22" s="1185"/>
      <c r="C22" s="1186"/>
      <c r="D22" s="1185"/>
      <c r="E22" s="1186"/>
      <c r="F22" s="1185"/>
    </row>
    <row r="23" spans="1:6" ht="15" customHeight="1" x14ac:dyDescent="0.3">
      <c r="A23" s="325" t="s">
        <v>14</v>
      </c>
      <c r="B23" s="1185">
        <v>0</v>
      </c>
      <c r="C23" s="1186">
        <v>0</v>
      </c>
      <c r="D23" s="1185">
        <v>0</v>
      </c>
      <c r="E23" s="1186">
        <v>0</v>
      </c>
      <c r="F23" s="1185">
        <v>0</v>
      </c>
    </row>
    <row r="24" spans="1:6" ht="15" customHeight="1" x14ac:dyDescent="0.3">
      <c r="A24" s="325" t="s">
        <v>15</v>
      </c>
      <c r="B24" s="1185">
        <v>0</v>
      </c>
      <c r="C24" s="1186">
        <v>0</v>
      </c>
      <c r="D24" s="1185">
        <v>0</v>
      </c>
      <c r="E24" s="1186">
        <v>0</v>
      </c>
      <c r="F24" s="1185">
        <v>0</v>
      </c>
    </row>
    <row r="25" spans="1:6" ht="15" customHeight="1" x14ac:dyDescent="0.3">
      <c r="A25" s="325" t="s">
        <v>16</v>
      </c>
      <c r="B25" s="1185">
        <v>0</v>
      </c>
      <c r="C25" s="1186">
        <v>0</v>
      </c>
      <c r="D25" s="1185">
        <v>0</v>
      </c>
      <c r="E25" s="1186">
        <v>0</v>
      </c>
      <c r="F25" s="1185">
        <v>0</v>
      </c>
    </row>
    <row r="26" spans="1:6" ht="15" customHeight="1" x14ac:dyDescent="0.3">
      <c r="A26" s="325" t="s">
        <v>17</v>
      </c>
      <c r="B26" s="1185">
        <v>0</v>
      </c>
      <c r="C26" s="1186">
        <v>0</v>
      </c>
      <c r="D26" s="1185">
        <v>0</v>
      </c>
      <c r="E26" s="1186">
        <v>0</v>
      </c>
      <c r="F26" s="1185">
        <v>0</v>
      </c>
    </row>
    <row r="27" spans="1:6" ht="15" customHeight="1" x14ac:dyDescent="0.3">
      <c r="A27" s="325" t="s">
        <v>119</v>
      </c>
      <c r="B27" s="1185">
        <v>0</v>
      </c>
      <c r="C27" s="1186">
        <v>0</v>
      </c>
      <c r="D27" s="1185">
        <v>0</v>
      </c>
      <c r="E27" s="1186">
        <v>0</v>
      </c>
      <c r="F27" s="1185">
        <v>0</v>
      </c>
    </row>
    <row r="28" spans="1:6" ht="15" customHeight="1" x14ac:dyDescent="0.3">
      <c r="A28" s="325" t="s">
        <v>118</v>
      </c>
      <c r="B28" s="1185">
        <v>0</v>
      </c>
      <c r="C28" s="1186">
        <v>0</v>
      </c>
      <c r="D28" s="1185">
        <v>0</v>
      </c>
      <c r="E28" s="1186">
        <v>0</v>
      </c>
      <c r="F28" s="1185">
        <v>0</v>
      </c>
    </row>
    <row r="29" spans="1:6" ht="15" customHeight="1" x14ac:dyDescent="0.3">
      <c r="A29" s="326" t="s">
        <v>18</v>
      </c>
      <c r="B29" s="1185">
        <v>0</v>
      </c>
      <c r="C29" s="1186">
        <v>0</v>
      </c>
      <c r="D29" s="1185">
        <v>0</v>
      </c>
      <c r="E29" s="1186">
        <v>0</v>
      </c>
      <c r="F29" s="1185">
        <v>0</v>
      </c>
    </row>
    <row r="30" spans="1:6" ht="15" customHeight="1" x14ac:dyDescent="0.3">
      <c r="A30" s="327" t="s">
        <v>19</v>
      </c>
      <c r="B30" s="1187">
        <f>SUM(B23:B29)</f>
        <v>0</v>
      </c>
      <c r="C30" s="1190">
        <f>SUM(C23:C29)</f>
        <v>0</v>
      </c>
      <c r="D30" s="1187">
        <f>SUM(D23:D29)</f>
        <v>0</v>
      </c>
      <c r="E30" s="1190">
        <f>SUM(E23:E29)</f>
        <v>0</v>
      </c>
      <c r="F30" s="1187">
        <f>SUM(F23:F29)</f>
        <v>0</v>
      </c>
    </row>
    <row r="31" spans="1:6" ht="15" customHeight="1" x14ac:dyDescent="0.3">
      <c r="A31" s="328"/>
      <c r="B31" s="1188"/>
      <c r="C31" s="1189"/>
      <c r="D31" s="1188"/>
      <c r="E31" s="1189"/>
      <c r="F31" s="1188"/>
    </row>
    <row r="32" spans="1:6" ht="15" customHeight="1" x14ac:dyDescent="0.3">
      <c r="A32" s="329" t="s">
        <v>20</v>
      </c>
      <c r="B32" s="1191"/>
      <c r="C32" s="1192"/>
      <c r="D32" s="1191"/>
      <c r="E32" s="1193"/>
      <c r="F32" s="1191"/>
    </row>
    <row r="33" spans="1:6" ht="15" customHeight="1" x14ac:dyDescent="0.3">
      <c r="A33" s="306" t="s">
        <v>21</v>
      </c>
      <c r="B33" s="1191">
        <v>6.0788114900000005</v>
      </c>
      <c r="C33" s="1192">
        <v>6.0399669799999991</v>
      </c>
      <c r="D33" s="1191">
        <v>6.0011224699999994</v>
      </c>
      <c r="E33" s="1193">
        <v>0</v>
      </c>
      <c r="F33" s="1191">
        <v>0</v>
      </c>
    </row>
    <row r="34" spans="1:6" ht="15" customHeight="1" x14ac:dyDescent="0.3">
      <c r="A34" s="306" t="s">
        <v>22</v>
      </c>
      <c r="B34" s="1191">
        <v>1.485118E-2</v>
      </c>
      <c r="C34" s="1192">
        <v>1.3428520000000001E-2</v>
      </c>
      <c r="D34" s="1191">
        <v>1.200586E-2</v>
      </c>
      <c r="E34" s="1193">
        <v>0</v>
      </c>
      <c r="F34" s="1191">
        <v>0</v>
      </c>
    </row>
    <row r="35" spans="1:6" ht="15" customHeight="1" x14ac:dyDescent="0.3">
      <c r="A35" s="306" t="s">
        <v>23</v>
      </c>
      <c r="B35" s="1191">
        <v>2.86456E-2</v>
      </c>
      <c r="C35" s="1192">
        <v>2.6386990000000003E-2</v>
      </c>
      <c r="D35" s="1191">
        <v>2.4128380000000001E-2</v>
      </c>
      <c r="E35" s="1193">
        <v>0</v>
      </c>
      <c r="F35" s="1191">
        <v>0</v>
      </c>
    </row>
    <row r="36" spans="1:6" ht="15" customHeight="1" x14ac:dyDescent="0.3">
      <c r="A36" s="306" t="s">
        <v>24</v>
      </c>
      <c r="B36" s="1191">
        <v>2.8092899999999999E-3</v>
      </c>
      <c r="C36" s="1192">
        <v>2.0659799999999998E-3</v>
      </c>
      <c r="D36" s="1191">
        <v>1.32267E-3</v>
      </c>
      <c r="E36" s="1193">
        <v>0</v>
      </c>
      <c r="F36" s="1191">
        <v>0</v>
      </c>
    </row>
    <row r="37" spans="1:6" ht="15" customHeight="1" x14ac:dyDescent="0.3">
      <c r="A37" s="306" t="s">
        <v>25</v>
      </c>
      <c r="B37" s="1191">
        <v>6.6215309999999999E-2</v>
      </c>
      <c r="C37" s="1192">
        <v>5.4450239999999997E-2</v>
      </c>
      <c r="D37" s="1191">
        <v>4.3312410000000003E-2</v>
      </c>
      <c r="E37" s="1193">
        <v>0</v>
      </c>
      <c r="F37" s="1191">
        <v>0</v>
      </c>
    </row>
    <row r="38" spans="1:6" ht="15" customHeight="1" x14ac:dyDescent="0.3">
      <c r="A38" s="307" t="s">
        <v>26</v>
      </c>
      <c r="B38" s="1194">
        <v>8.8968827000000008</v>
      </c>
      <c r="C38" s="1195">
        <v>8.6885268699999969</v>
      </c>
      <c r="D38" s="1194">
        <v>8.4807109999999994</v>
      </c>
      <c r="E38" s="1193">
        <v>0</v>
      </c>
      <c r="F38" s="1191">
        <v>0</v>
      </c>
    </row>
    <row r="39" spans="1:6" ht="15" customHeight="1" x14ac:dyDescent="0.3">
      <c r="A39" s="327" t="s">
        <v>27</v>
      </c>
      <c r="B39" s="1187">
        <f>SUM(B32:B38)</f>
        <v>15.088215570000001</v>
      </c>
      <c r="C39" s="1190">
        <f>SUM(C32:C38)</f>
        <v>14.824825579999995</v>
      </c>
      <c r="D39" s="1187">
        <f>SUM(D32:D38)</f>
        <v>14.56260279</v>
      </c>
      <c r="E39" s="1190">
        <f>SUM(E32:E38)</f>
        <v>0</v>
      </c>
      <c r="F39" s="1187">
        <f>SUM(F32:F38)</f>
        <v>0</v>
      </c>
    </row>
    <row r="40" spans="1:6" ht="15" customHeight="1" x14ac:dyDescent="0.3">
      <c r="A40" s="330"/>
      <c r="B40" s="1196"/>
      <c r="C40" s="1197"/>
      <c r="D40" s="1196"/>
      <c r="E40" s="1197"/>
      <c r="F40" s="1196"/>
    </row>
    <row r="41" spans="1:6" ht="15" customHeight="1" x14ac:dyDescent="0.3">
      <c r="A41" s="322" t="s">
        <v>28</v>
      </c>
      <c r="B41" s="1185">
        <v>0.80750226999999997</v>
      </c>
      <c r="C41" s="1186">
        <v>0.80750226999999997</v>
      </c>
      <c r="D41" s="1185">
        <v>0.80750226999999997</v>
      </c>
      <c r="E41" s="1186">
        <v>0</v>
      </c>
      <c r="F41" s="1185">
        <v>0</v>
      </c>
    </row>
    <row r="42" spans="1:6" ht="15" customHeight="1" x14ac:dyDescent="0.3">
      <c r="A42" s="331"/>
      <c r="B42" s="1194"/>
      <c r="C42" s="1195"/>
      <c r="D42" s="1194"/>
      <c r="E42" s="1195"/>
      <c r="F42" s="1194"/>
    </row>
    <row r="43" spans="1:6" ht="15" customHeight="1" x14ac:dyDescent="0.3">
      <c r="A43" s="327" t="s">
        <v>29</v>
      </c>
      <c r="B43" s="1187">
        <f>B20+B30+B39+B41</f>
        <v>17.066063850000003</v>
      </c>
      <c r="C43" s="1190">
        <f>C20+C30+C39+C41</f>
        <v>16.888924669999994</v>
      </c>
      <c r="D43" s="1187">
        <f>D20+D30+D39+D41</f>
        <v>16.609885159999997</v>
      </c>
      <c r="E43" s="1190">
        <f>E20+E30+E39+E41</f>
        <v>0</v>
      </c>
      <c r="F43" s="1187">
        <f>F20+F30+F39+F41</f>
        <v>0</v>
      </c>
    </row>
    <row r="44" spans="1:6" ht="15" customHeight="1" x14ac:dyDescent="0.3">
      <c r="A44" s="332"/>
      <c r="B44" s="1198"/>
      <c r="C44" s="1199"/>
      <c r="D44" s="1198"/>
      <c r="E44" s="1199"/>
      <c r="F44" s="1198"/>
    </row>
    <row r="45" spans="1:6" ht="15" customHeight="1" x14ac:dyDescent="0.3">
      <c r="A45" s="322" t="s">
        <v>30</v>
      </c>
      <c r="B45" s="1191"/>
      <c r="C45" s="1192"/>
      <c r="D45" s="1191"/>
      <c r="E45" s="1192"/>
      <c r="F45" s="1191"/>
    </row>
    <row r="46" spans="1:6" ht="15" customHeight="1" x14ac:dyDescent="0.3">
      <c r="A46" s="333"/>
      <c r="B46" s="1191"/>
      <c r="C46" s="1192"/>
      <c r="D46" s="1191"/>
      <c r="E46" s="1192"/>
      <c r="F46" s="1191"/>
    </row>
    <row r="47" spans="1:6" ht="15" customHeight="1" x14ac:dyDescent="0.3">
      <c r="A47" s="322" t="s">
        <v>31</v>
      </c>
      <c r="B47" s="1185"/>
      <c r="C47" s="1186"/>
      <c r="D47" s="1185"/>
      <c r="E47" s="1186"/>
      <c r="F47" s="1185"/>
    </row>
    <row r="48" spans="1:6" ht="15" customHeight="1" x14ac:dyDescent="0.3">
      <c r="A48" s="306" t="s">
        <v>32</v>
      </c>
      <c r="B48" s="1191">
        <v>17.4928612</v>
      </c>
      <c r="C48" s="1192">
        <v>20.47957525</v>
      </c>
      <c r="D48" s="1191">
        <v>23.875950259999996</v>
      </c>
      <c r="E48" s="1192">
        <v>0</v>
      </c>
      <c r="F48" s="1191">
        <v>0</v>
      </c>
    </row>
    <row r="49" spans="1:6" ht="15" customHeight="1" x14ac:dyDescent="0.3">
      <c r="A49" s="334" t="s">
        <v>50</v>
      </c>
      <c r="B49" s="1191">
        <v>0</v>
      </c>
      <c r="C49" s="1192">
        <v>0</v>
      </c>
      <c r="D49" s="1191">
        <v>0</v>
      </c>
      <c r="E49" s="1192">
        <v>0</v>
      </c>
      <c r="F49" s="1191">
        <v>0</v>
      </c>
    </row>
    <row r="50" spans="1:6" ht="15" customHeight="1" x14ac:dyDescent="0.3">
      <c r="A50" s="334" t="s">
        <v>108</v>
      </c>
      <c r="B50" s="1191">
        <v>0</v>
      </c>
      <c r="C50" s="1192">
        <v>0</v>
      </c>
      <c r="D50" s="1191">
        <v>0</v>
      </c>
      <c r="E50" s="1192">
        <v>0</v>
      </c>
      <c r="F50" s="1191">
        <v>0</v>
      </c>
    </row>
    <row r="51" spans="1:6" ht="15" customHeight="1" x14ac:dyDescent="0.3">
      <c r="A51" s="334" t="s">
        <v>109</v>
      </c>
      <c r="B51" s="1191">
        <v>0</v>
      </c>
      <c r="C51" s="1192">
        <v>0</v>
      </c>
      <c r="D51" s="1191">
        <v>0</v>
      </c>
      <c r="E51" s="1192">
        <v>0</v>
      </c>
      <c r="F51" s="1191">
        <v>0</v>
      </c>
    </row>
    <row r="52" spans="1:6" ht="15" customHeight="1" x14ac:dyDescent="0.3">
      <c r="A52" s="334" t="s">
        <v>33</v>
      </c>
      <c r="B52" s="1191">
        <v>0</v>
      </c>
      <c r="C52" s="1192">
        <v>0</v>
      </c>
      <c r="D52" s="1191">
        <v>0</v>
      </c>
      <c r="E52" s="1192">
        <v>0</v>
      </c>
      <c r="F52" s="1191">
        <v>0</v>
      </c>
    </row>
    <row r="53" spans="1:6" ht="15" customHeight="1" x14ac:dyDescent="0.3">
      <c r="A53" s="334" t="s">
        <v>34</v>
      </c>
      <c r="B53" s="1191">
        <v>0</v>
      </c>
      <c r="C53" s="1192">
        <v>0</v>
      </c>
      <c r="D53" s="1191">
        <v>0</v>
      </c>
      <c r="E53" s="1192">
        <v>0</v>
      </c>
      <c r="F53" s="1191">
        <v>0</v>
      </c>
    </row>
    <row r="54" spans="1:6" ht="15" customHeight="1" x14ac:dyDescent="0.3">
      <c r="A54" s="306" t="s">
        <v>35</v>
      </c>
      <c r="B54" s="1191">
        <v>0</v>
      </c>
      <c r="C54" s="1192">
        <v>0</v>
      </c>
      <c r="D54" s="1191">
        <v>0</v>
      </c>
      <c r="E54" s="1192">
        <v>0</v>
      </c>
      <c r="F54" s="1191">
        <v>0</v>
      </c>
    </row>
    <row r="55" spans="1:6" ht="15" customHeight="1" x14ac:dyDescent="0.3">
      <c r="A55" s="306" t="s">
        <v>36</v>
      </c>
      <c r="B55" s="1191">
        <v>0</v>
      </c>
      <c r="C55" s="1192">
        <v>0</v>
      </c>
      <c r="D55" s="1191">
        <v>0</v>
      </c>
      <c r="E55" s="1192">
        <v>0</v>
      </c>
      <c r="F55" s="1191">
        <v>0</v>
      </c>
    </row>
    <row r="56" spans="1:6" ht="15" customHeight="1" x14ac:dyDescent="0.3">
      <c r="A56" s="307" t="s">
        <v>37</v>
      </c>
      <c r="B56" s="1194">
        <v>5.7754627599999999</v>
      </c>
      <c r="C56" s="1195">
        <v>5.7754627599999999</v>
      </c>
      <c r="D56" s="1194">
        <v>5.7754627599999999</v>
      </c>
      <c r="E56" s="1192">
        <v>0</v>
      </c>
      <c r="F56" s="1191">
        <v>0</v>
      </c>
    </row>
    <row r="57" spans="1:6" ht="15" customHeight="1" x14ac:dyDescent="0.3">
      <c r="A57" s="327" t="s">
        <v>38</v>
      </c>
      <c r="B57" s="1187">
        <f>SUM(B48:B56)</f>
        <v>23.26832396</v>
      </c>
      <c r="C57" s="1190">
        <f>SUM(C48:C56)</f>
        <v>26.25503801</v>
      </c>
      <c r="D57" s="1187">
        <f>SUM(D48:D56)</f>
        <v>29.651413019999996</v>
      </c>
      <c r="E57" s="1190">
        <f>SUM(E48:E56)</f>
        <v>0</v>
      </c>
      <c r="F57" s="1187">
        <f>SUM(F48:F56)</f>
        <v>0</v>
      </c>
    </row>
    <row r="58" spans="1:6" ht="15" customHeight="1" x14ac:dyDescent="0.3">
      <c r="A58" s="335"/>
      <c r="B58" s="1188"/>
      <c r="C58" s="1189"/>
      <c r="D58" s="1188"/>
      <c r="E58" s="1189"/>
      <c r="F58" s="1188"/>
    </row>
    <row r="59" spans="1:6" ht="15" customHeight="1" x14ac:dyDescent="0.3">
      <c r="A59" s="322" t="s">
        <v>39</v>
      </c>
      <c r="B59" s="1191"/>
      <c r="C59" s="1192"/>
      <c r="D59" s="1191"/>
      <c r="E59" s="1192"/>
      <c r="F59" s="1191"/>
    </row>
    <row r="60" spans="1:6" ht="15" customHeight="1" x14ac:dyDescent="0.3">
      <c r="A60" s="306" t="s">
        <v>117</v>
      </c>
      <c r="B60" s="1191">
        <v>2.8755828999999999</v>
      </c>
      <c r="C60" s="1192">
        <v>2.8755828999999999</v>
      </c>
      <c r="D60" s="1191">
        <v>2.8755828999999999</v>
      </c>
      <c r="E60" s="1192">
        <v>0</v>
      </c>
      <c r="F60" s="1191">
        <v>0</v>
      </c>
    </row>
    <row r="61" spans="1:6" ht="15" customHeight="1" x14ac:dyDescent="0.3">
      <c r="A61" s="306" t="s">
        <v>40</v>
      </c>
      <c r="B61" s="1191">
        <v>5.2655630899999997</v>
      </c>
      <c r="C61" s="1192">
        <v>5.2655630899999997</v>
      </c>
      <c r="D61" s="1191">
        <v>5.2655630899999997</v>
      </c>
      <c r="E61" s="1192">
        <v>0</v>
      </c>
      <c r="F61" s="1191">
        <v>0</v>
      </c>
    </row>
    <row r="62" spans="1:6" ht="15" customHeight="1" x14ac:dyDescent="0.3">
      <c r="A62" s="308"/>
      <c r="B62" s="1194"/>
      <c r="C62" s="1195"/>
      <c r="D62" s="1194"/>
      <c r="E62" s="1195"/>
      <c r="F62" s="1194"/>
    </row>
    <row r="63" spans="1:6" ht="15" customHeight="1" x14ac:dyDescent="0.3">
      <c r="A63" s="327" t="s">
        <v>41</v>
      </c>
      <c r="B63" s="1187">
        <f>SUM(B60:B62)</f>
        <v>8.1411459900000001</v>
      </c>
      <c r="C63" s="1190">
        <f>SUM(C60:C62)</f>
        <v>8.1411459900000001</v>
      </c>
      <c r="D63" s="1187">
        <f>SUM(D60:D62)</f>
        <v>8.1411459900000001</v>
      </c>
      <c r="E63" s="1190">
        <f>SUM(E60:E62)</f>
        <v>0</v>
      </c>
      <c r="F63" s="1187">
        <f>SUM(F60:F62)</f>
        <v>0</v>
      </c>
    </row>
    <row r="64" spans="1:6" ht="15" customHeight="1" x14ac:dyDescent="0.3">
      <c r="A64" s="335"/>
      <c r="B64" s="1188"/>
      <c r="C64" s="1189"/>
      <c r="D64" s="1188"/>
      <c r="E64" s="1189"/>
      <c r="F64" s="1188"/>
    </row>
    <row r="65" spans="1:6" ht="15" customHeight="1" x14ac:dyDescent="0.3">
      <c r="A65" s="322" t="s">
        <v>42</v>
      </c>
      <c r="B65" s="1191"/>
      <c r="C65" s="1192"/>
      <c r="D65" s="1191"/>
      <c r="E65" s="1192"/>
      <c r="F65" s="1191"/>
    </row>
    <row r="66" spans="1:6" ht="15" customHeight="1" x14ac:dyDescent="0.3">
      <c r="A66" s="306" t="s">
        <v>43</v>
      </c>
      <c r="B66" s="1191">
        <v>19.945622030000003</v>
      </c>
      <c r="C66" s="1192">
        <v>19.945622030000003</v>
      </c>
      <c r="D66" s="1191">
        <v>19.945622030000003</v>
      </c>
      <c r="E66" s="1192">
        <v>0</v>
      </c>
      <c r="F66" s="1191">
        <v>0</v>
      </c>
    </row>
    <row r="67" spans="1:6" ht="15" customHeight="1" x14ac:dyDescent="0.3">
      <c r="A67" s="306" t="s">
        <v>44</v>
      </c>
      <c r="B67" s="1191">
        <v>0</v>
      </c>
      <c r="C67" s="1192">
        <v>0</v>
      </c>
      <c r="D67" s="1191">
        <v>0</v>
      </c>
      <c r="E67" s="1192">
        <v>0</v>
      </c>
      <c r="F67" s="1191">
        <v>0</v>
      </c>
    </row>
    <row r="68" spans="1:6" ht="15" customHeight="1" x14ac:dyDescent="0.3">
      <c r="A68" s="306" t="s">
        <v>45</v>
      </c>
      <c r="B68" s="1191">
        <v>0</v>
      </c>
      <c r="C68" s="1192">
        <v>0</v>
      </c>
      <c r="D68" s="1191">
        <v>0</v>
      </c>
      <c r="E68" s="1192">
        <v>0</v>
      </c>
      <c r="F68" s="1191">
        <v>0</v>
      </c>
    </row>
    <row r="69" spans="1:6" ht="15" customHeight="1" x14ac:dyDescent="0.3">
      <c r="A69" s="307" t="s">
        <v>46</v>
      </c>
      <c r="B69" s="1194">
        <v>-34.289028130000005</v>
      </c>
      <c r="C69" s="1200">
        <v>-37.452881359999999</v>
      </c>
      <c r="D69" s="1201">
        <v>-41.128295879999996</v>
      </c>
      <c r="E69" s="1192">
        <v>0</v>
      </c>
      <c r="F69" s="1191">
        <v>0</v>
      </c>
    </row>
    <row r="70" spans="1:6" ht="15" customHeight="1" x14ac:dyDescent="0.3">
      <c r="A70" s="327" t="s">
        <v>47</v>
      </c>
      <c r="B70" s="1187">
        <f>SUM(B66:B69)</f>
        <v>-14.343406100000003</v>
      </c>
      <c r="C70" s="1190">
        <f>SUM(C66:C69)</f>
        <v>-17.507259329999997</v>
      </c>
      <c r="D70" s="1187">
        <f>SUM(D66:D69)</f>
        <v>-21.182673849999993</v>
      </c>
      <c r="E70" s="1190">
        <f>SUM(E66:E69)</f>
        <v>0</v>
      </c>
      <c r="F70" s="1187">
        <f>SUM(F66:F69)</f>
        <v>0</v>
      </c>
    </row>
    <row r="71" spans="1:6" ht="15.75" customHeight="1" x14ac:dyDescent="0.3">
      <c r="A71" s="336"/>
      <c r="B71" s="1202"/>
      <c r="C71" s="1203"/>
      <c r="D71" s="1202"/>
      <c r="E71" s="1203"/>
      <c r="F71" s="1202"/>
    </row>
    <row r="72" spans="1:6" ht="16.5" customHeight="1" thickBot="1" x14ac:dyDescent="0.35">
      <c r="A72" s="337" t="s">
        <v>48</v>
      </c>
      <c r="B72" s="1204">
        <f>B70+B63+B57</f>
        <v>17.066063849999999</v>
      </c>
      <c r="C72" s="1205">
        <f>C70+C63+C57</f>
        <v>16.888924670000002</v>
      </c>
      <c r="D72" s="1204">
        <f>D70+D63+D57</f>
        <v>16.609885160000005</v>
      </c>
      <c r="E72" s="1205">
        <f>E70+E63+E57</f>
        <v>0</v>
      </c>
      <c r="F72" s="1204">
        <f>F70+F63+F57</f>
        <v>0</v>
      </c>
    </row>
    <row r="76" spans="1:6" ht="15.75" customHeight="1" x14ac:dyDescent="0.3">
      <c r="C76" s="672"/>
      <c r="D76" s="672"/>
      <c r="E76" s="672"/>
      <c r="F76" s="672"/>
    </row>
  </sheetData>
  <sheetProtection algorithmName="SHA-512" hashValue="pzhsUJMsRq7xZ6maeehLXS1W9ZFz3xWFcaQ7aFAe4t3VZiJhWtX/lZId7iO6ttruWwYxtgSAvP235qgt1srRlw==" saltValue="Vv/U8WA+/x1yAw6CwyyTzQ==" spinCount="100000" sheet="1" objects="1" scenarios="1"/>
  <mergeCells count="6">
    <mergeCell ref="A7:F7"/>
    <mergeCell ref="A1:F1"/>
    <mergeCell ref="A3:F3"/>
    <mergeCell ref="A4:F4"/>
    <mergeCell ref="A5:F5"/>
    <mergeCell ref="A6:F6"/>
  </mergeCells>
  <pageMargins left="0.7" right="0.7" top="0.75" bottom="0.75" header="0.3" footer="0.3"/>
  <pageSetup scale="67" fitToHeight="0" orientation="portrait" horizontalDpi="300" verticalDpi="300"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59999389629810485"/>
  </sheetPr>
  <dimension ref="A1:AE83"/>
  <sheetViews>
    <sheetView zoomScale="50" zoomScaleNormal="50" workbookViewId="0">
      <pane xSplit="1" ySplit="11" topLeftCell="B27" activePane="bottomRight" state="frozen"/>
      <selection pane="topRight" activeCell="B1" sqref="B1"/>
      <selection pane="bottomLeft" activeCell="A12" sqref="A12"/>
      <selection pane="bottomRight" activeCell="A93" sqref="A93"/>
    </sheetView>
  </sheetViews>
  <sheetFormatPr defaultRowHeight="18.75" x14ac:dyDescent="0.3"/>
  <cols>
    <col min="1" max="1" width="53.42578125" style="49" customWidth="1"/>
    <col min="2" max="4" width="13.28515625" style="414" customWidth="1"/>
    <col min="5" max="5" width="9.140625" style="49" customWidth="1"/>
    <col min="6" max="6" width="1.5703125" style="49" customWidth="1"/>
    <col min="7" max="9" width="13.85546875" style="414" customWidth="1"/>
    <col min="10" max="10" width="11.42578125" style="49" customWidth="1"/>
    <col min="11" max="11" width="1.140625" style="49" customWidth="1"/>
    <col min="12" max="14" width="12.140625" style="414" customWidth="1"/>
    <col min="15" max="15" width="12.42578125" style="49" customWidth="1"/>
    <col min="16" max="16" width="1" style="49" customWidth="1"/>
    <col min="17" max="19" width="12.42578125" style="414" customWidth="1"/>
    <col min="20" max="20" width="9.5703125" style="49" customWidth="1"/>
    <col min="21" max="21" width="1.28515625" style="49" customWidth="1"/>
    <col min="22" max="24" width="12.5703125" style="414" customWidth="1"/>
    <col min="25" max="25" width="9.7109375" style="49" customWidth="1"/>
    <col min="26" max="26" width="1" style="49" customWidth="1"/>
    <col min="27" max="27" width="16.5703125" style="414" customWidth="1"/>
    <col min="28" max="28" width="12.85546875" style="414" customWidth="1"/>
    <col min="29" max="29" width="19.42578125" style="49" customWidth="1"/>
    <col min="30" max="30" width="1" style="49" customWidth="1"/>
    <col min="31" max="31" width="74.7109375" style="49" customWidth="1"/>
    <col min="32" max="16384" width="9.140625" style="49"/>
  </cols>
  <sheetData>
    <row r="1" spans="1:31" x14ac:dyDescent="0.3">
      <c r="A1" s="1431" t="s">
        <v>49</v>
      </c>
      <c r="B1" s="1432"/>
      <c r="C1" s="1432"/>
      <c r="D1" s="1432"/>
      <c r="E1" s="1432"/>
      <c r="F1" s="1432"/>
      <c r="G1" s="1432"/>
      <c r="H1" s="1432"/>
      <c r="I1" s="415"/>
      <c r="J1" s="496"/>
      <c r="K1" s="89"/>
      <c r="L1" s="416"/>
      <c r="M1" s="416"/>
      <c r="N1" s="416"/>
      <c r="O1" s="89"/>
      <c r="P1" s="120"/>
      <c r="Q1" s="415"/>
      <c r="R1" s="417"/>
      <c r="S1" s="429"/>
      <c r="T1" s="497"/>
      <c r="U1" s="120"/>
      <c r="V1" s="430"/>
      <c r="W1" s="430"/>
      <c r="X1" s="430"/>
      <c r="Y1" s="120"/>
      <c r="Z1" s="120"/>
      <c r="AA1" s="430"/>
      <c r="AB1" s="430"/>
      <c r="AC1" s="120"/>
      <c r="AD1" s="120"/>
      <c r="AE1" s="124"/>
    </row>
    <row r="2" spans="1:31" x14ac:dyDescent="0.3">
      <c r="A2" s="125"/>
      <c r="B2" s="418"/>
      <c r="C2" s="418"/>
      <c r="D2" s="418"/>
      <c r="E2" s="96"/>
      <c r="F2" s="96"/>
      <c r="G2" s="418"/>
      <c r="H2" s="418"/>
      <c r="I2" s="418"/>
      <c r="J2" s="96"/>
      <c r="K2" s="97"/>
      <c r="L2" s="357"/>
      <c r="M2" s="357"/>
      <c r="N2" s="357"/>
      <c r="O2" s="97"/>
      <c r="P2" s="97"/>
      <c r="Q2" s="418"/>
      <c r="R2" s="419"/>
      <c r="S2" s="431"/>
      <c r="T2" s="498"/>
      <c r="U2" s="97"/>
      <c r="V2" s="432"/>
      <c r="W2" s="432"/>
      <c r="X2" s="432"/>
      <c r="Y2" s="134"/>
      <c r="Z2" s="97"/>
      <c r="AA2" s="432"/>
      <c r="AB2" s="432"/>
      <c r="AC2" s="134"/>
      <c r="AD2" s="97"/>
      <c r="AE2" s="129"/>
    </row>
    <row r="3" spans="1:31" s="52" customFormat="1" x14ac:dyDescent="0.3">
      <c r="A3" s="1433" t="s">
        <v>192</v>
      </c>
      <c r="B3" s="1434"/>
      <c r="C3" s="1434"/>
      <c r="D3" s="1434"/>
      <c r="E3" s="1434"/>
      <c r="F3" s="1434"/>
      <c r="G3" s="1434"/>
      <c r="H3" s="1434"/>
      <c r="I3" s="420"/>
      <c r="J3" s="499"/>
      <c r="K3" s="103"/>
      <c r="L3" s="421"/>
      <c r="M3" s="421"/>
      <c r="N3" s="421"/>
      <c r="O3" s="103"/>
      <c r="P3" s="130"/>
      <c r="Q3" s="420"/>
      <c r="R3" s="422"/>
      <c r="S3" s="428"/>
      <c r="T3" s="500"/>
      <c r="U3" s="130"/>
      <c r="V3" s="433"/>
      <c r="W3" s="433"/>
      <c r="X3" s="433"/>
      <c r="Y3" s="130"/>
      <c r="Z3" s="130"/>
      <c r="AA3" s="433"/>
      <c r="AB3" s="433"/>
      <c r="AC3" s="130"/>
      <c r="AD3" s="130"/>
      <c r="AE3" s="133"/>
    </row>
    <row r="4" spans="1:31" x14ac:dyDescent="0.3">
      <c r="A4" s="1435" t="s">
        <v>51</v>
      </c>
      <c r="B4" s="1436"/>
      <c r="C4" s="1436"/>
      <c r="D4" s="1436"/>
      <c r="E4" s="1436"/>
      <c r="F4" s="1436"/>
      <c r="G4" s="1436"/>
      <c r="H4" s="1436"/>
      <c r="I4" s="418"/>
      <c r="J4" s="501"/>
      <c r="K4" s="108"/>
      <c r="L4" s="423"/>
      <c r="M4" s="423"/>
      <c r="N4" s="423"/>
      <c r="O4" s="108"/>
      <c r="P4" s="134"/>
      <c r="Q4" s="424"/>
      <c r="R4" s="425"/>
      <c r="S4" s="431"/>
      <c r="T4" s="502"/>
      <c r="U4" s="134"/>
      <c r="V4" s="432"/>
      <c r="W4" s="432"/>
      <c r="X4" s="432"/>
      <c r="Y4" s="134"/>
      <c r="Z4" s="134"/>
      <c r="AA4" s="432"/>
      <c r="AB4" s="432"/>
      <c r="AC4" s="134"/>
      <c r="AD4" s="134"/>
      <c r="AE4" s="129"/>
    </row>
    <row r="5" spans="1:31" x14ac:dyDescent="0.3">
      <c r="A5" s="1435" t="s">
        <v>52</v>
      </c>
      <c r="B5" s="1437"/>
      <c r="C5" s="1437"/>
      <c r="D5" s="1437"/>
      <c r="E5" s="1437"/>
      <c r="F5" s="1437"/>
      <c r="G5" s="1437"/>
      <c r="H5" s="1437"/>
      <c r="I5" s="418"/>
      <c r="J5" s="96"/>
      <c r="K5" s="108"/>
      <c r="L5" s="423"/>
      <c r="M5" s="423"/>
      <c r="N5" s="423"/>
      <c r="O5" s="108"/>
      <c r="P5" s="134"/>
      <c r="Q5" s="424"/>
      <c r="R5" s="425"/>
      <c r="S5" s="431"/>
      <c r="T5" s="502"/>
      <c r="U5" s="134"/>
      <c r="V5" s="432"/>
      <c r="W5" s="432"/>
      <c r="X5" s="432"/>
      <c r="Y5" s="134"/>
      <c r="Z5" s="134"/>
      <c r="AA5" s="432"/>
      <c r="AB5" s="432"/>
      <c r="AC5" s="134"/>
      <c r="AD5" s="134"/>
      <c r="AE5" s="129"/>
    </row>
    <row r="6" spans="1:31" s="52" customFormat="1" x14ac:dyDescent="0.3">
      <c r="A6" s="1433" t="s">
        <v>194</v>
      </c>
      <c r="B6" s="1468"/>
      <c r="C6" s="1468"/>
      <c r="D6" s="1468"/>
      <c r="E6" s="1468"/>
      <c r="F6" s="1468"/>
      <c r="G6" s="1468"/>
      <c r="H6" s="1468"/>
      <c r="I6" s="420"/>
      <c r="J6" s="499"/>
      <c r="K6" s="114"/>
      <c r="L6" s="426"/>
      <c r="M6" s="426"/>
      <c r="N6" s="426"/>
      <c r="O6" s="114"/>
      <c r="P6" s="130"/>
      <c r="Q6" s="427"/>
      <c r="R6" s="428"/>
      <c r="S6" s="428"/>
      <c r="T6" s="503"/>
      <c r="U6" s="130"/>
      <c r="V6" s="433"/>
      <c r="W6" s="433"/>
      <c r="X6" s="433"/>
      <c r="Y6" s="130"/>
      <c r="Z6" s="130"/>
      <c r="AA6" s="421"/>
      <c r="AB6" s="421"/>
      <c r="AC6" s="130"/>
      <c r="AD6" s="130"/>
      <c r="AE6" s="133"/>
    </row>
    <row r="7" spans="1:31" s="52" customFormat="1" x14ac:dyDescent="0.3">
      <c r="A7" s="1429" t="s">
        <v>2</v>
      </c>
      <c r="B7" s="1430"/>
      <c r="C7" s="1430"/>
      <c r="D7" s="1430"/>
      <c r="E7" s="1430"/>
      <c r="F7" s="1430"/>
      <c r="G7" s="1430"/>
      <c r="H7" s="1430"/>
      <c r="I7" s="420"/>
      <c r="J7" s="504"/>
      <c r="K7" s="114"/>
      <c r="L7" s="426"/>
      <c r="M7" s="426"/>
      <c r="N7" s="426"/>
      <c r="O7" s="114"/>
      <c r="P7" s="130"/>
      <c r="Q7" s="427"/>
      <c r="R7" s="428"/>
      <c r="S7" s="428"/>
      <c r="T7" s="503"/>
      <c r="U7" s="130"/>
      <c r="V7" s="433"/>
      <c r="W7" s="433"/>
      <c r="X7" s="433"/>
      <c r="Y7" s="130"/>
      <c r="Z7" s="130"/>
      <c r="AA7" s="433"/>
      <c r="AB7" s="433"/>
      <c r="AC7" s="130"/>
      <c r="AD7" s="130"/>
      <c r="AE7" s="133"/>
    </row>
    <row r="8" spans="1:31" ht="19.5" thickBot="1" x14ac:dyDescent="0.35">
      <c r="A8" s="135" t="s">
        <v>173</v>
      </c>
      <c r="B8" s="434"/>
      <c r="C8" s="432"/>
      <c r="D8" s="432"/>
      <c r="E8" s="134"/>
      <c r="F8" s="138"/>
      <c r="G8" s="432"/>
      <c r="H8" s="432"/>
      <c r="I8" s="432"/>
      <c r="J8" s="134"/>
      <c r="K8" s="138"/>
      <c r="L8" s="432"/>
      <c r="M8" s="432"/>
      <c r="N8" s="432"/>
      <c r="O8" s="134"/>
      <c r="P8" s="138"/>
      <c r="Q8" s="432"/>
      <c r="R8" s="432"/>
      <c r="S8" s="432"/>
      <c r="T8" s="134"/>
      <c r="U8" s="138"/>
      <c r="V8" s="432"/>
      <c r="W8" s="432"/>
      <c r="X8" s="432"/>
      <c r="Y8" s="134"/>
      <c r="Z8" s="138"/>
      <c r="AA8" s="432"/>
      <c r="AB8" s="432"/>
      <c r="AC8" s="134"/>
      <c r="AD8" s="138"/>
      <c r="AE8" s="129"/>
    </row>
    <row r="9" spans="1:31" x14ac:dyDescent="0.3">
      <c r="A9" s="140"/>
      <c r="B9" s="1454" t="s">
        <v>53</v>
      </c>
      <c r="C9" s="1448"/>
      <c r="D9" s="1448"/>
      <c r="E9" s="1449"/>
      <c r="F9" s="141"/>
      <c r="G9" s="1454" t="s">
        <v>54</v>
      </c>
      <c r="H9" s="1448"/>
      <c r="I9" s="1448"/>
      <c r="J9" s="1449"/>
      <c r="K9" s="141"/>
      <c r="L9" s="1455" t="s">
        <v>55</v>
      </c>
      <c r="M9" s="1456"/>
      <c r="N9" s="1456"/>
      <c r="O9" s="1457"/>
      <c r="P9" s="141"/>
      <c r="Q9" s="1454" t="s">
        <v>56</v>
      </c>
      <c r="R9" s="1448"/>
      <c r="S9" s="1448"/>
      <c r="T9" s="1449"/>
      <c r="U9" s="141"/>
      <c r="V9" s="1455" t="s">
        <v>57</v>
      </c>
      <c r="W9" s="1456"/>
      <c r="X9" s="1456"/>
      <c r="Y9" s="1457"/>
      <c r="Z9" s="141"/>
      <c r="AA9" s="1455" t="s">
        <v>196</v>
      </c>
      <c r="AB9" s="1456"/>
      <c r="AC9" s="1457"/>
      <c r="AD9" s="141"/>
      <c r="AE9" s="1498" t="s">
        <v>58</v>
      </c>
    </row>
    <row r="10" spans="1:31" ht="37.5" x14ac:dyDescent="0.3">
      <c r="A10" s="143" t="s">
        <v>59</v>
      </c>
      <c r="B10" s="436" t="s">
        <v>60</v>
      </c>
      <c r="C10" s="437" t="s">
        <v>61</v>
      </c>
      <c r="D10" s="1445" t="s">
        <v>62</v>
      </c>
      <c r="E10" s="1442"/>
      <c r="F10" s="145"/>
      <c r="G10" s="436" t="s">
        <v>60</v>
      </c>
      <c r="H10" s="437" t="s">
        <v>61</v>
      </c>
      <c r="I10" s="1445" t="s">
        <v>62</v>
      </c>
      <c r="J10" s="1442"/>
      <c r="K10" s="145"/>
      <c r="L10" s="436" t="s">
        <v>60</v>
      </c>
      <c r="M10" s="437" t="s">
        <v>61</v>
      </c>
      <c r="N10" s="1445" t="s">
        <v>62</v>
      </c>
      <c r="O10" s="1442"/>
      <c r="P10" s="145"/>
      <c r="Q10" s="436" t="s">
        <v>60</v>
      </c>
      <c r="R10" s="437" t="s">
        <v>61</v>
      </c>
      <c r="S10" s="1445" t="s">
        <v>62</v>
      </c>
      <c r="T10" s="1442"/>
      <c r="U10" s="145"/>
      <c r="V10" s="436" t="s">
        <v>60</v>
      </c>
      <c r="W10" s="437" t="s">
        <v>61</v>
      </c>
      <c r="X10" s="1445" t="s">
        <v>62</v>
      </c>
      <c r="Y10" s="1442"/>
      <c r="Z10" s="145"/>
      <c r="AA10" s="438" t="s">
        <v>63</v>
      </c>
      <c r="AB10" s="1445" t="s">
        <v>64</v>
      </c>
      <c r="AC10" s="1442"/>
      <c r="AD10" s="145"/>
      <c r="AE10" s="1499"/>
    </row>
    <row r="11" spans="1:31" ht="19.5" thickBot="1" x14ac:dyDescent="0.35">
      <c r="A11" s="551"/>
      <c r="B11" s="663" t="s">
        <v>107</v>
      </c>
      <c r="C11" s="629" t="s">
        <v>107</v>
      </c>
      <c r="D11" s="630" t="s">
        <v>107</v>
      </c>
      <c r="E11" s="509" t="s">
        <v>65</v>
      </c>
      <c r="F11" s="154"/>
      <c r="G11" s="656" t="s">
        <v>107</v>
      </c>
      <c r="H11" s="657" t="s">
        <v>107</v>
      </c>
      <c r="I11" s="658" t="s">
        <v>107</v>
      </c>
      <c r="J11" s="510" t="s">
        <v>65</v>
      </c>
      <c r="K11" s="154"/>
      <c r="L11" s="656" t="s">
        <v>107</v>
      </c>
      <c r="M11" s="657" t="s">
        <v>107</v>
      </c>
      <c r="N11" s="658" t="s">
        <v>107</v>
      </c>
      <c r="O11" s="510" t="s">
        <v>65</v>
      </c>
      <c r="P11" s="154"/>
      <c r="Q11" s="656" t="s">
        <v>107</v>
      </c>
      <c r="R11" s="657" t="s">
        <v>107</v>
      </c>
      <c r="S11" s="658" t="s">
        <v>107</v>
      </c>
      <c r="T11" s="510" t="s">
        <v>65</v>
      </c>
      <c r="U11" s="154"/>
      <c r="V11" s="656" t="s">
        <v>107</v>
      </c>
      <c r="W11" s="657" t="s">
        <v>107</v>
      </c>
      <c r="X11" s="658" t="s">
        <v>107</v>
      </c>
      <c r="Y11" s="510" t="s">
        <v>65</v>
      </c>
      <c r="Z11" s="154"/>
      <c r="AA11" s="656" t="s">
        <v>107</v>
      </c>
      <c r="AB11" s="658" t="s">
        <v>107</v>
      </c>
      <c r="AC11" s="510" t="s">
        <v>65</v>
      </c>
      <c r="AD11" s="154"/>
      <c r="AE11" s="1499"/>
    </row>
    <row r="12" spans="1:31" x14ac:dyDescent="0.3">
      <c r="A12" s="163"/>
      <c r="B12" s="1274"/>
      <c r="C12" s="1273"/>
      <c r="D12" s="1277"/>
      <c r="E12" s="512"/>
      <c r="F12" s="167"/>
      <c r="G12" s="659"/>
      <c r="H12" s="660"/>
      <c r="I12" s="1281"/>
      <c r="J12" s="512"/>
      <c r="K12" s="167"/>
      <c r="L12" s="659"/>
      <c r="M12" s="660"/>
      <c r="N12" s="633"/>
      <c r="O12" s="512"/>
      <c r="P12" s="167"/>
      <c r="Q12" s="659"/>
      <c r="R12" s="660"/>
      <c r="S12" s="633"/>
      <c r="T12" s="1282"/>
      <c r="U12" s="949"/>
      <c r="V12" s="632"/>
      <c r="W12" s="660"/>
      <c r="X12" s="633"/>
      <c r="Y12" s="1282"/>
      <c r="Z12" s="167"/>
      <c r="AA12" s="659"/>
      <c r="AB12" s="1281"/>
      <c r="AC12" s="512"/>
      <c r="AD12" s="167"/>
      <c r="AE12" s="857"/>
    </row>
    <row r="13" spans="1:31" x14ac:dyDescent="0.3">
      <c r="A13" s="1271" t="s">
        <v>66</v>
      </c>
      <c r="B13" s="1275"/>
      <c r="C13" s="449"/>
      <c r="D13" s="1278"/>
      <c r="E13" s="1283"/>
      <c r="F13" s="933"/>
      <c r="G13" s="357"/>
      <c r="H13" s="1280"/>
      <c r="I13" s="1280"/>
      <c r="J13" s="1283"/>
      <c r="K13" s="175"/>
      <c r="L13" s="449"/>
      <c r="M13" s="1280"/>
      <c r="N13" s="1280"/>
      <c r="O13" s="1283"/>
      <c r="P13" s="1284"/>
      <c r="Q13" s="357"/>
      <c r="R13" s="1280"/>
      <c r="S13" s="1280"/>
      <c r="T13" s="1283"/>
      <c r="U13" s="933"/>
      <c r="V13" s="357"/>
      <c r="W13" s="1280"/>
      <c r="X13" s="448"/>
      <c r="Y13" s="1286"/>
      <c r="Z13" s="933"/>
      <c r="AA13" s="357"/>
      <c r="AB13" s="448"/>
      <c r="AC13" s="1286"/>
      <c r="AD13" s="175"/>
      <c r="AE13" s="850"/>
    </row>
    <row r="14" spans="1:31" x14ac:dyDescent="0.3">
      <c r="A14" s="1272" t="s">
        <v>132</v>
      </c>
      <c r="B14" s="1276">
        <v>0</v>
      </c>
      <c r="C14" s="453">
        <v>0</v>
      </c>
      <c r="D14" s="1279">
        <f>C14-B14</f>
        <v>0</v>
      </c>
      <c r="E14" s="868" t="str">
        <f t="shared" ref="E14:E25" si="0">IF(ISERROR(D14/B14),"-",D14/B14)</f>
        <v>-</v>
      </c>
      <c r="F14" s="934"/>
      <c r="G14" s="1211">
        <v>0</v>
      </c>
      <c r="H14" s="1208">
        <v>0</v>
      </c>
      <c r="I14" s="1208">
        <f>H14-G14</f>
        <v>0</v>
      </c>
      <c r="J14" s="220" t="str">
        <f t="shared" ref="J14:J25" si="1">IF(ISERROR(I14/G14),"-",I14/G14)</f>
        <v>-</v>
      </c>
      <c r="K14" s="184"/>
      <c r="L14" s="450">
        <v>0</v>
      </c>
      <c r="M14" s="682">
        <v>0</v>
      </c>
      <c r="N14" s="451">
        <f>M14-L14</f>
        <v>0</v>
      </c>
      <c r="O14" s="220" t="str">
        <f t="shared" ref="O14:O25" si="2">IF(ISERROR(N14/L14),"-",N14/L14)</f>
        <v>-</v>
      </c>
      <c r="P14" s="1285"/>
      <c r="Q14" s="642">
        <v>0</v>
      </c>
      <c r="R14" s="451">
        <v>0</v>
      </c>
      <c r="S14" s="451">
        <f>R14-Q14</f>
        <v>0</v>
      </c>
      <c r="T14" s="220" t="str">
        <f t="shared" ref="T14:T29" si="3">IF(ISERROR(S14/Q14),"-",S14/Q14)</f>
        <v>-</v>
      </c>
      <c r="U14" s="934"/>
      <c r="V14" s="1211">
        <f>B14+G14+L14+Q14</f>
        <v>0</v>
      </c>
      <c r="W14" s="1208">
        <f>C14+H14+M14+R14</f>
        <v>0</v>
      </c>
      <c r="X14" s="1208">
        <f>W14-V14</f>
        <v>0</v>
      </c>
      <c r="Y14" s="220" t="str">
        <f t="shared" ref="Y14:Y27" si="4">IF(ISERROR(X14/V14),"-",X14/V14)</f>
        <v>-</v>
      </c>
      <c r="Z14" s="934"/>
      <c r="AA14" s="683">
        <v>0</v>
      </c>
      <c r="AB14" s="642">
        <f t="shared" ref="AB14:AB24" si="5">AA14-W14</f>
        <v>0</v>
      </c>
      <c r="AC14" s="220" t="str">
        <f t="shared" ref="AC14:AC27" si="6">IF(ISERROR(AB14/AA14),"-",AB14/AA14)</f>
        <v>-</v>
      </c>
      <c r="AD14" s="184"/>
      <c r="AE14" s="850"/>
    </row>
    <row r="15" spans="1:31" x14ac:dyDescent="0.3">
      <c r="A15" s="190" t="s">
        <v>111</v>
      </c>
      <c r="B15" s="1276">
        <v>0</v>
      </c>
      <c r="C15" s="453">
        <v>0</v>
      </c>
      <c r="D15" s="1279">
        <f>C15-B15</f>
        <v>0</v>
      </c>
      <c r="E15" s="1178" t="str">
        <f t="shared" si="0"/>
        <v>-</v>
      </c>
      <c r="F15" s="934"/>
      <c r="G15" s="1211">
        <v>0</v>
      </c>
      <c r="H15" s="1208">
        <v>0</v>
      </c>
      <c r="I15" s="1208">
        <f>H15-G15</f>
        <v>0</v>
      </c>
      <c r="J15" s="221" t="str">
        <f t="shared" si="1"/>
        <v>-</v>
      </c>
      <c r="K15" s="184"/>
      <c r="L15" s="453">
        <v>0</v>
      </c>
      <c r="M15" s="682">
        <v>0</v>
      </c>
      <c r="N15" s="451">
        <f t="shared" ref="N15:N24" si="7">M15-L15</f>
        <v>0</v>
      </c>
      <c r="O15" s="294" t="str">
        <f t="shared" si="2"/>
        <v>-</v>
      </c>
      <c r="P15" s="1285"/>
      <c r="Q15" s="683">
        <v>0</v>
      </c>
      <c r="R15" s="451">
        <v>0</v>
      </c>
      <c r="S15" s="451">
        <f t="shared" ref="S15:S24" si="8">R15-Q15</f>
        <v>0</v>
      </c>
      <c r="T15" s="294" t="str">
        <f t="shared" si="3"/>
        <v>-</v>
      </c>
      <c r="U15" s="934"/>
      <c r="V15" s="1211">
        <f t="shared" ref="V15:V24" si="9">B15+G15+L15+Q15</f>
        <v>0</v>
      </c>
      <c r="W15" s="1208">
        <f t="shared" ref="W15:W24" si="10">C15+H15+M15+R15</f>
        <v>0</v>
      </c>
      <c r="X15" s="1208">
        <f>W15-V15</f>
        <v>0</v>
      </c>
      <c r="Y15" s="220" t="str">
        <f t="shared" si="4"/>
        <v>-</v>
      </c>
      <c r="Z15" s="934"/>
      <c r="AA15" s="683">
        <v>0</v>
      </c>
      <c r="AB15" s="642">
        <f t="shared" si="5"/>
        <v>0</v>
      </c>
      <c r="AC15" s="220" t="str">
        <f t="shared" si="6"/>
        <v>-</v>
      </c>
      <c r="AD15" s="184"/>
      <c r="AE15" s="549"/>
    </row>
    <row r="16" spans="1:31" x14ac:dyDescent="0.3">
      <c r="A16" s="190" t="s">
        <v>69</v>
      </c>
      <c r="B16" s="1276">
        <v>6.0000000000000002E-5</v>
      </c>
      <c r="C16" s="453">
        <v>0</v>
      </c>
      <c r="D16" s="1279">
        <f t="shared" ref="D16:D24" si="11">C16-B16</f>
        <v>-6.0000000000000002E-5</v>
      </c>
      <c r="E16" s="1178">
        <f t="shared" si="0"/>
        <v>-1</v>
      </c>
      <c r="F16" s="191"/>
      <c r="G16" s="1206">
        <v>6.0000000000000002E-5</v>
      </c>
      <c r="H16" s="1208">
        <v>0</v>
      </c>
      <c r="I16" s="1208">
        <f t="shared" ref="I16:I24" si="12">H16-G16</f>
        <v>-6.0000000000000002E-5</v>
      </c>
      <c r="J16" s="221">
        <f t="shared" si="1"/>
        <v>-1</v>
      </c>
      <c r="K16" s="191"/>
      <c r="L16" s="450">
        <v>0</v>
      </c>
      <c r="M16" s="682">
        <v>0</v>
      </c>
      <c r="N16" s="451">
        <f t="shared" si="7"/>
        <v>0</v>
      </c>
      <c r="O16" s="220" t="str">
        <f t="shared" si="2"/>
        <v>-</v>
      </c>
      <c r="P16" s="191"/>
      <c r="Q16" s="453">
        <v>0</v>
      </c>
      <c r="R16" s="451">
        <v>0</v>
      </c>
      <c r="S16" s="451">
        <f t="shared" si="8"/>
        <v>0</v>
      </c>
      <c r="T16" s="220" t="str">
        <f>IF(ISERROR(S16/Q16),"-",S16/Q16)</f>
        <v>-</v>
      </c>
      <c r="U16" s="191"/>
      <c r="V16" s="1206">
        <f t="shared" si="9"/>
        <v>1.2E-4</v>
      </c>
      <c r="W16" s="1208">
        <f t="shared" si="10"/>
        <v>0</v>
      </c>
      <c r="X16" s="1208">
        <f t="shared" ref="X16:X24" si="13">W16-V16</f>
        <v>-1.2E-4</v>
      </c>
      <c r="Y16" s="220">
        <f t="shared" si="4"/>
        <v>-1</v>
      </c>
      <c r="Z16" s="191"/>
      <c r="AA16" s="453">
        <v>240</v>
      </c>
      <c r="AB16" s="642">
        <f t="shared" si="5"/>
        <v>240</v>
      </c>
      <c r="AC16" s="220">
        <f t="shared" si="6"/>
        <v>1</v>
      </c>
      <c r="AD16" s="191"/>
      <c r="AE16" s="851"/>
    </row>
    <row r="17" spans="1:31" x14ac:dyDescent="0.3">
      <c r="A17" s="190" t="s">
        <v>68</v>
      </c>
      <c r="B17" s="1276">
        <v>0</v>
      </c>
      <c r="C17" s="453">
        <v>0</v>
      </c>
      <c r="D17" s="1211">
        <f t="shared" si="11"/>
        <v>0</v>
      </c>
      <c r="E17" s="222" t="str">
        <f t="shared" si="0"/>
        <v>-</v>
      </c>
      <c r="F17" s="184"/>
      <c r="G17" s="1206">
        <v>0</v>
      </c>
      <c r="H17" s="1208">
        <v>0</v>
      </c>
      <c r="I17" s="1208">
        <f t="shared" si="12"/>
        <v>0</v>
      </c>
      <c r="J17" s="221" t="str">
        <f t="shared" si="1"/>
        <v>-</v>
      </c>
      <c r="K17" s="184"/>
      <c r="L17" s="450">
        <v>0</v>
      </c>
      <c r="M17" s="682">
        <v>0</v>
      </c>
      <c r="N17" s="451">
        <f t="shared" si="7"/>
        <v>0</v>
      </c>
      <c r="O17" s="220" t="str">
        <f t="shared" si="2"/>
        <v>-</v>
      </c>
      <c r="P17" s="184"/>
      <c r="Q17" s="450">
        <v>0</v>
      </c>
      <c r="R17" s="451">
        <v>0</v>
      </c>
      <c r="S17" s="451">
        <f t="shared" si="8"/>
        <v>0</v>
      </c>
      <c r="T17" s="220" t="str">
        <f t="shared" ref="T17:T24" si="14">IF(ISERROR(S17/Q17),"-",S17/Q17)</f>
        <v>-</v>
      </c>
      <c r="U17" s="184"/>
      <c r="V17" s="1206">
        <f t="shared" si="9"/>
        <v>0</v>
      </c>
      <c r="W17" s="1208">
        <f t="shared" si="10"/>
        <v>0</v>
      </c>
      <c r="X17" s="1208">
        <f t="shared" si="13"/>
        <v>0</v>
      </c>
      <c r="Y17" s="220" t="str">
        <f t="shared" si="4"/>
        <v>-</v>
      </c>
      <c r="Z17" s="184"/>
      <c r="AA17" s="453">
        <v>0</v>
      </c>
      <c r="AB17" s="642">
        <f t="shared" si="5"/>
        <v>0</v>
      </c>
      <c r="AC17" s="220" t="str">
        <f t="shared" si="6"/>
        <v>-</v>
      </c>
      <c r="AD17" s="184"/>
      <c r="AE17" s="850"/>
    </row>
    <row r="18" spans="1:31" x14ac:dyDescent="0.3">
      <c r="A18" s="190" t="s">
        <v>71</v>
      </c>
      <c r="B18" s="450">
        <v>0</v>
      </c>
      <c r="C18" s="453">
        <v>0</v>
      </c>
      <c r="D18" s="1211">
        <f t="shared" si="11"/>
        <v>0</v>
      </c>
      <c r="E18" s="222" t="str">
        <f t="shared" si="0"/>
        <v>-</v>
      </c>
      <c r="F18" s="184"/>
      <c r="G18" s="1206">
        <v>0</v>
      </c>
      <c r="H18" s="1208">
        <v>0</v>
      </c>
      <c r="I18" s="1208">
        <f t="shared" si="12"/>
        <v>0</v>
      </c>
      <c r="J18" s="221" t="str">
        <f t="shared" si="1"/>
        <v>-</v>
      </c>
      <c r="K18" s="184"/>
      <c r="L18" s="450">
        <v>0</v>
      </c>
      <c r="M18" s="682">
        <v>0</v>
      </c>
      <c r="N18" s="451">
        <f t="shared" si="7"/>
        <v>0</v>
      </c>
      <c r="O18" s="220" t="str">
        <f t="shared" si="2"/>
        <v>-</v>
      </c>
      <c r="P18" s="184"/>
      <c r="Q18" s="450">
        <v>0</v>
      </c>
      <c r="R18" s="451">
        <v>0</v>
      </c>
      <c r="S18" s="451">
        <f t="shared" si="8"/>
        <v>0</v>
      </c>
      <c r="T18" s="220" t="str">
        <f t="shared" si="14"/>
        <v>-</v>
      </c>
      <c r="U18" s="184"/>
      <c r="V18" s="1206">
        <f>B18+G18+L18+Q18</f>
        <v>0</v>
      </c>
      <c r="W18" s="1208">
        <f t="shared" si="10"/>
        <v>0</v>
      </c>
      <c r="X18" s="1208">
        <f t="shared" si="13"/>
        <v>0</v>
      </c>
      <c r="Y18" s="220" t="str">
        <f t="shared" si="4"/>
        <v>-</v>
      </c>
      <c r="Z18" s="184"/>
      <c r="AA18" s="450">
        <v>0</v>
      </c>
      <c r="AB18" s="451">
        <f t="shared" si="5"/>
        <v>0</v>
      </c>
      <c r="AC18" s="220" t="str">
        <f t="shared" si="6"/>
        <v>-</v>
      </c>
      <c r="AD18" s="184"/>
      <c r="AE18" s="850"/>
    </row>
    <row r="19" spans="1:31" x14ac:dyDescent="0.3">
      <c r="A19" s="190" t="s">
        <v>202</v>
      </c>
      <c r="B19" s="450">
        <v>0</v>
      </c>
      <c r="C19" s="450">
        <v>0</v>
      </c>
      <c r="D19" s="1208">
        <f t="shared" si="11"/>
        <v>0</v>
      </c>
      <c r="E19" s="222" t="str">
        <f t="shared" si="0"/>
        <v>-</v>
      </c>
      <c r="F19" s="184"/>
      <c r="G19" s="1206">
        <v>0</v>
      </c>
      <c r="H19" s="1208">
        <v>0</v>
      </c>
      <c r="I19" s="1208">
        <f t="shared" si="12"/>
        <v>0</v>
      </c>
      <c r="J19" s="221" t="str">
        <f t="shared" si="1"/>
        <v>-</v>
      </c>
      <c r="K19" s="184"/>
      <c r="L19" s="450">
        <v>0</v>
      </c>
      <c r="M19" s="682">
        <v>0</v>
      </c>
      <c r="N19" s="451">
        <f t="shared" si="7"/>
        <v>0</v>
      </c>
      <c r="O19" s="220" t="str">
        <f t="shared" si="2"/>
        <v>-</v>
      </c>
      <c r="P19" s="184"/>
      <c r="Q19" s="450">
        <v>0</v>
      </c>
      <c r="R19" s="451">
        <v>0</v>
      </c>
      <c r="S19" s="451">
        <f>R19-Q19</f>
        <v>0</v>
      </c>
      <c r="T19" s="220" t="str">
        <f t="shared" si="14"/>
        <v>-</v>
      </c>
      <c r="U19" s="184"/>
      <c r="V19" s="1206">
        <f>B19+G19+L19+Q19</f>
        <v>0</v>
      </c>
      <c r="W19" s="1208">
        <f>C19+H19+M19+R19</f>
        <v>0</v>
      </c>
      <c r="X19" s="1208">
        <f>W19-V19</f>
        <v>0</v>
      </c>
      <c r="Y19" s="220" t="str">
        <f t="shared" si="4"/>
        <v>-</v>
      </c>
      <c r="Z19" s="184"/>
      <c r="AA19" s="450">
        <v>0</v>
      </c>
      <c r="AB19" s="451">
        <f>AA19-W19</f>
        <v>0</v>
      </c>
      <c r="AC19" s="220" t="str">
        <f t="shared" si="6"/>
        <v>-</v>
      </c>
      <c r="AD19" s="184"/>
      <c r="AE19" s="850"/>
    </row>
    <row r="20" spans="1:31" x14ac:dyDescent="0.3">
      <c r="A20" s="194" t="s">
        <v>67</v>
      </c>
      <c r="B20" s="1206">
        <v>2.3445125</v>
      </c>
      <c r="C20" s="450">
        <v>1.58863328</v>
      </c>
      <c r="D20" s="1208">
        <f t="shared" si="11"/>
        <v>-0.75587921999999996</v>
      </c>
      <c r="E20" s="222">
        <f>IF(ISERROR(D20/B20),"-",D20/B20)</f>
        <v>-0.32240357856910551</v>
      </c>
      <c r="F20" s="184"/>
      <c r="G20" s="1206">
        <v>2.3445125</v>
      </c>
      <c r="H20" s="1208">
        <v>1.83860709</v>
      </c>
      <c r="I20" s="1208">
        <f t="shared" si="12"/>
        <v>-0.50590541</v>
      </c>
      <c r="J20" s="221">
        <f t="shared" si="1"/>
        <v>-0.21578277360432072</v>
      </c>
      <c r="K20" s="184"/>
      <c r="L20" s="450">
        <v>0</v>
      </c>
      <c r="M20" s="682">
        <v>0</v>
      </c>
      <c r="N20" s="451">
        <f t="shared" si="7"/>
        <v>0</v>
      </c>
      <c r="O20" s="220" t="str">
        <f t="shared" si="2"/>
        <v>-</v>
      </c>
      <c r="P20" s="184"/>
      <c r="Q20" s="450">
        <v>0</v>
      </c>
      <c r="R20" s="451">
        <v>0</v>
      </c>
      <c r="S20" s="451">
        <f t="shared" si="8"/>
        <v>0</v>
      </c>
      <c r="T20" s="220" t="str">
        <f t="shared" si="14"/>
        <v>-</v>
      </c>
      <c r="U20" s="184"/>
      <c r="V20" s="1206">
        <f t="shared" si="9"/>
        <v>4.689025</v>
      </c>
      <c r="W20" s="1208">
        <f t="shared" si="10"/>
        <v>3.4272403699999998</v>
      </c>
      <c r="X20" s="1208">
        <f t="shared" si="13"/>
        <v>-1.2617846300000002</v>
      </c>
      <c r="Y20" s="220">
        <f t="shared" si="4"/>
        <v>-0.26909317608671318</v>
      </c>
      <c r="Z20" s="184"/>
      <c r="AA20" s="450">
        <v>9378049.9800000004</v>
      </c>
      <c r="AB20" s="451">
        <f t="shared" si="5"/>
        <v>9378046.5527596306</v>
      </c>
      <c r="AC20" s="220">
        <f t="shared" si="6"/>
        <v>0.99999963454658725</v>
      </c>
      <c r="AD20" s="184"/>
      <c r="AE20" s="850"/>
    </row>
    <row r="21" spans="1:31" x14ac:dyDescent="0.3">
      <c r="A21" s="181" t="s">
        <v>112</v>
      </c>
      <c r="B21" s="1206">
        <v>1.125</v>
      </c>
      <c r="C21" s="450">
        <v>0</v>
      </c>
      <c r="D21" s="1208">
        <f>C21-B21</f>
        <v>-1.125</v>
      </c>
      <c r="E21" s="222">
        <f t="shared" si="0"/>
        <v>-1</v>
      </c>
      <c r="F21" s="184"/>
      <c r="G21" s="1206">
        <v>1.125</v>
      </c>
      <c r="H21" s="1208">
        <v>0</v>
      </c>
      <c r="I21" s="1208">
        <f t="shared" si="12"/>
        <v>-1.125</v>
      </c>
      <c r="J21" s="221">
        <f t="shared" si="1"/>
        <v>-1</v>
      </c>
      <c r="K21" s="184"/>
      <c r="L21" s="450">
        <v>0</v>
      </c>
      <c r="M21" s="682">
        <v>0</v>
      </c>
      <c r="N21" s="451">
        <f t="shared" si="7"/>
        <v>0</v>
      </c>
      <c r="O21" s="220" t="str">
        <f t="shared" si="2"/>
        <v>-</v>
      </c>
      <c r="P21" s="184"/>
      <c r="Q21" s="450">
        <v>0</v>
      </c>
      <c r="R21" s="451">
        <v>0</v>
      </c>
      <c r="S21" s="451">
        <f t="shared" si="8"/>
        <v>0</v>
      </c>
      <c r="T21" s="220" t="str">
        <f t="shared" si="14"/>
        <v>-</v>
      </c>
      <c r="U21" s="184"/>
      <c r="V21" s="1206">
        <f t="shared" si="9"/>
        <v>2.25</v>
      </c>
      <c r="W21" s="1208">
        <f t="shared" si="10"/>
        <v>0</v>
      </c>
      <c r="X21" s="1208">
        <f t="shared" si="13"/>
        <v>-2.25</v>
      </c>
      <c r="Y21" s="220">
        <f t="shared" si="4"/>
        <v>-1</v>
      </c>
      <c r="Z21" s="184"/>
      <c r="AA21" s="450">
        <v>7500000</v>
      </c>
      <c r="AB21" s="451">
        <f t="shared" si="5"/>
        <v>7500000</v>
      </c>
      <c r="AC21" s="220">
        <f t="shared" si="6"/>
        <v>1</v>
      </c>
      <c r="AD21" s="184"/>
      <c r="AE21" s="850"/>
    </row>
    <row r="22" spans="1:31" x14ac:dyDescent="0.3">
      <c r="A22" s="190" t="s">
        <v>70</v>
      </c>
      <c r="B22" s="450">
        <v>0</v>
      </c>
      <c r="C22" s="450">
        <v>0</v>
      </c>
      <c r="D22" s="1208">
        <v>0</v>
      </c>
      <c r="E22" s="222" t="str">
        <f t="shared" si="0"/>
        <v>-</v>
      </c>
      <c r="F22" s="184"/>
      <c r="G22" s="1206">
        <v>0</v>
      </c>
      <c r="H22" s="1208">
        <v>0</v>
      </c>
      <c r="I22" s="1208">
        <f t="shared" si="12"/>
        <v>0</v>
      </c>
      <c r="J22" s="221" t="str">
        <f t="shared" si="1"/>
        <v>-</v>
      </c>
      <c r="K22" s="184"/>
      <c r="L22" s="450">
        <v>0</v>
      </c>
      <c r="M22" s="682">
        <v>0</v>
      </c>
      <c r="N22" s="451">
        <f t="shared" si="7"/>
        <v>0</v>
      </c>
      <c r="O22" s="220" t="str">
        <f t="shared" si="2"/>
        <v>-</v>
      </c>
      <c r="P22" s="184"/>
      <c r="Q22" s="450">
        <v>0</v>
      </c>
      <c r="R22" s="451">
        <v>0</v>
      </c>
      <c r="S22" s="451">
        <f t="shared" si="8"/>
        <v>0</v>
      </c>
      <c r="T22" s="220" t="str">
        <f t="shared" si="14"/>
        <v>-</v>
      </c>
      <c r="U22" s="184"/>
      <c r="V22" s="1206">
        <f t="shared" si="9"/>
        <v>0</v>
      </c>
      <c r="W22" s="1208">
        <f t="shared" si="10"/>
        <v>0</v>
      </c>
      <c r="X22" s="1208">
        <f>W22-V22</f>
        <v>0</v>
      </c>
      <c r="Y22" s="220" t="str">
        <f t="shared" si="4"/>
        <v>-</v>
      </c>
      <c r="Z22" s="184"/>
      <c r="AA22" s="450">
        <v>0</v>
      </c>
      <c r="AB22" s="451">
        <f t="shared" si="5"/>
        <v>0</v>
      </c>
      <c r="AC22" s="220" t="str">
        <f t="shared" si="6"/>
        <v>-</v>
      </c>
      <c r="AD22" s="184"/>
      <c r="AE22" s="850"/>
    </row>
    <row r="23" spans="1:31" x14ac:dyDescent="0.3">
      <c r="A23" s="190" t="s">
        <v>72</v>
      </c>
      <c r="B23" s="450">
        <v>0</v>
      </c>
      <c r="C23" s="450">
        <v>0</v>
      </c>
      <c r="D23" s="1208">
        <f t="shared" si="11"/>
        <v>0</v>
      </c>
      <c r="E23" s="222" t="str">
        <f t="shared" si="0"/>
        <v>-</v>
      </c>
      <c r="F23" s="184"/>
      <c r="G23" s="1206">
        <v>0</v>
      </c>
      <c r="H23" s="1208">
        <v>0</v>
      </c>
      <c r="I23" s="1208">
        <f t="shared" si="12"/>
        <v>0</v>
      </c>
      <c r="J23" s="221" t="str">
        <f t="shared" si="1"/>
        <v>-</v>
      </c>
      <c r="K23" s="184"/>
      <c r="L23" s="450">
        <v>0</v>
      </c>
      <c r="M23" s="682">
        <v>0</v>
      </c>
      <c r="N23" s="451">
        <f t="shared" si="7"/>
        <v>0</v>
      </c>
      <c r="O23" s="220" t="str">
        <f t="shared" si="2"/>
        <v>-</v>
      </c>
      <c r="P23" s="184"/>
      <c r="Q23" s="450">
        <v>0</v>
      </c>
      <c r="R23" s="451">
        <v>0</v>
      </c>
      <c r="S23" s="451">
        <f t="shared" si="8"/>
        <v>0</v>
      </c>
      <c r="T23" s="220" t="str">
        <f t="shared" si="14"/>
        <v>-</v>
      </c>
      <c r="U23" s="184"/>
      <c r="V23" s="1206">
        <f t="shared" si="9"/>
        <v>0</v>
      </c>
      <c r="W23" s="1208">
        <f t="shared" si="10"/>
        <v>0</v>
      </c>
      <c r="X23" s="1208">
        <f t="shared" si="13"/>
        <v>0</v>
      </c>
      <c r="Y23" s="220" t="str">
        <f t="shared" si="4"/>
        <v>-</v>
      </c>
      <c r="Z23" s="184"/>
      <c r="AA23" s="450">
        <v>0</v>
      </c>
      <c r="AB23" s="451">
        <f t="shared" si="5"/>
        <v>0</v>
      </c>
      <c r="AC23" s="220" t="str">
        <f t="shared" si="6"/>
        <v>-</v>
      </c>
      <c r="AD23" s="184"/>
      <c r="AE23" s="851"/>
    </row>
    <row r="24" spans="1:31" x14ac:dyDescent="0.3">
      <c r="A24" s="190" t="s">
        <v>131</v>
      </c>
      <c r="B24" s="450">
        <v>0</v>
      </c>
      <c r="C24" s="450">
        <v>0</v>
      </c>
      <c r="D24" s="1208">
        <f t="shared" si="11"/>
        <v>0</v>
      </c>
      <c r="E24" s="222" t="str">
        <f t="shared" si="0"/>
        <v>-</v>
      </c>
      <c r="F24" s="184"/>
      <c r="G24" s="1206">
        <v>0</v>
      </c>
      <c r="H24" s="1208">
        <v>0</v>
      </c>
      <c r="I24" s="1208">
        <f t="shared" si="12"/>
        <v>0</v>
      </c>
      <c r="J24" s="221" t="str">
        <f t="shared" si="1"/>
        <v>-</v>
      </c>
      <c r="K24" s="184"/>
      <c r="L24" s="450">
        <v>0</v>
      </c>
      <c r="M24" s="682">
        <v>0</v>
      </c>
      <c r="N24" s="451">
        <f t="shared" si="7"/>
        <v>0</v>
      </c>
      <c r="O24" s="294" t="str">
        <f t="shared" si="2"/>
        <v>-</v>
      </c>
      <c r="P24" s="184"/>
      <c r="Q24" s="450">
        <v>0</v>
      </c>
      <c r="R24" s="451">
        <v>0</v>
      </c>
      <c r="S24" s="451">
        <f t="shared" si="8"/>
        <v>0</v>
      </c>
      <c r="T24" s="220" t="str">
        <f t="shared" si="14"/>
        <v>-</v>
      </c>
      <c r="U24" s="184"/>
      <c r="V24" s="1206">
        <f t="shared" si="9"/>
        <v>0</v>
      </c>
      <c r="W24" s="1208">
        <f t="shared" si="10"/>
        <v>0</v>
      </c>
      <c r="X24" s="1208">
        <f t="shared" si="13"/>
        <v>0</v>
      </c>
      <c r="Y24" s="220" t="str">
        <f t="shared" si="4"/>
        <v>-</v>
      </c>
      <c r="Z24" s="184"/>
      <c r="AA24" s="450">
        <v>0</v>
      </c>
      <c r="AB24" s="451">
        <f t="shared" si="5"/>
        <v>0</v>
      </c>
      <c r="AC24" s="220" t="str">
        <f t="shared" si="6"/>
        <v>-</v>
      </c>
      <c r="AD24" s="184"/>
      <c r="AE24" s="850"/>
    </row>
    <row r="25" spans="1:31" x14ac:dyDescent="0.3">
      <c r="A25" s="199" t="s">
        <v>73</v>
      </c>
      <c r="B25" s="1207">
        <f>SUM(B14:B24)</f>
        <v>3.4695724999999999</v>
      </c>
      <c r="C25" s="1207">
        <f>SUM(C14:C24)</f>
        <v>1.58863328</v>
      </c>
      <c r="D25" s="1209">
        <f>SUM(D14:D24)</f>
        <v>-1.8809392199999999</v>
      </c>
      <c r="E25" s="238">
        <f t="shared" si="0"/>
        <v>-0.54212420118040472</v>
      </c>
      <c r="F25" s="203"/>
      <c r="G25" s="1207">
        <f>SUM(G14:G24)</f>
        <v>3.4695724999999999</v>
      </c>
      <c r="H25" s="1209">
        <f>SUM(H14:H24)</f>
        <v>1.83860709</v>
      </c>
      <c r="I25" s="1209">
        <f>SUM(I14:I24)</f>
        <v>-1.6309654099999999</v>
      </c>
      <c r="J25" s="237">
        <f t="shared" si="1"/>
        <v>-0.47007676305942592</v>
      </c>
      <c r="K25" s="203"/>
      <c r="L25" s="469">
        <f>SUM(L14:L24)</f>
        <v>0</v>
      </c>
      <c r="M25" s="685">
        <f>SUM(M14:M24)</f>
        <v>0</v>
      </c>
      <c r="N25" s="686">
        <f>SUM(N14:N24)</f>
        <v>0</v>
      </c>
      <c r="O25" s="237" t="str">
        <f t="shared" si="2"/>
        <v>-</v>
      </c>
      <c r="P25" s="203"/>
      <c r="Q25" s="469">
        <f>SUM(Q14:Q24)</f>
        <v>0</v>
      </c>
      <c r="R25" s="685">
        <f>SUM(R14:R24)</f>
        <v>0</v>
      </c>
      <c r="S25" s="685">
        <f>SUM(S14:S24)</f>
        <v>0</v>
      </c>
      <c r="T25" s="527" t="str">
        <f t="shared" si="3"/>
        <v>-</v>
      </c>
      <c r="U25" s="203"/>
      <c r="V25" s="1207">
        <f>SUM(V14:V24)</f>
        <v>6.9391449999999999</v>
      </c>
      <c r="W25" s="1209">
        <f>SUM(W14:W24)</f>
        <v>3.4272403699999998</v>
      </c>
      <c r="X25" s="1209">
        <f>SUM(X14:X24)</f>
        <v>-3.5119046300000001</v>
      </c>
      <c r="Y25" s="527">
        <f t="shared" si="4"/>
        <v>-0.50610048211991532</v>
      </c>
      <c r="Z25" s="203"/>
      <c r="AA25" s="471">
        <f>SUM(AA14:AA24)</f>
        <v>16878289.98</v>
      </c>
      <c r="AB25" s="472">
        <f>SUM(AB14:AB24)</f>
        <v>16878286.552759632</v>
      </c>
      <c r="AC25" s="562">
        <f t="shared" si="6"/>
        <v>0.99999979694386265</v>
      </c>
      <c r="AD25" s="203"/>
      <c r="AE25" s="852"/>
    </row>
    <row r="26" spans="1:31" x14ac:dyDescent="0.3">
      <c r="A26" s="210"/>
      <c r="B26" s="459"/>
      <c r="C26" s="460"/>
      <c r="D26" s="460"/>
      <c r="E26" s="532"/>
      <c r="F26" s="184"/>
      <c r="G26" s="461"/>
      <c r="H26" s="462"/>
      <c r="I26" s="462"/>
      <c r="J26" s="216"/>
      <c r="K26" s="184"/>
      <c r="L26" s="461"/>
      <c r="M26" s="687"/>
      <c r="N26" s="688"/>
      <c r="O26" s="532"/>
      <c r="P26" s="184"/>
      <c r="Q26" s="461"/>
      <c r="R26" s="462"/>
      <c r="S26" s="462"/>
      <c r="T26" s="533" t="str">
        <f t="shared" si="3"/>
        <v>-</v>
      </c>
      <c r="U26" s="184"/>
      <c r="V26" s="1234"/>
      <c r="W26" s="1235"/>
      <c r="X26" s="1235"/>
      <c r="Y26" s="532"/>
      <c r="Z26" s="184"/>
      <c r="AA26" s="459"/>
      <c r="AB26" s="460"/>
      <c r="AC26" s="563"/>
      <c r="AD26" s="184"/>
      <c r="AE26" s="850"/>
    </row>
    <row r="27" spans="1:31" x14ac:dyDescent="0.3">
      <c r="A27" s="172" t="s">
        <v>74</v>
      </c>
      <c r="B27" s="450">
        <v>0</v>
      </c>
      <c r="C27" s="451">
        <v>0</v>
      </c>
      <c r="D27" s="451">
        <f>C27-B27</f>
        <v>0</v>
      </c>
      <c r="E27" s="294" t="str">
        <f>IF(ISERROR(D27/B27),"-",D27/B27)</f>
        <v>-</v>
      </c>
      <c r="F27" s="184"/>
      <c r="G27" s="622">
        <v>0</v>
      </c>
      <c r="H27" s="677">
        <v>0</v>
      </c>
      <c r="I27" s="677">
        <f>H27-G27</f>
        <v>0</v>
      </c>
      <c r="J27" s="295" t="str">
        <f>IF(ISERROR(I27/G27),"-",I27/G27)</f>
        <v>-</v>
      </c>
      <c r="K27" s="184"/>
      <c r="L27" s="622">
        <v>0</v>
      </c>
      <c r="M27" s="689">
        <v>0</v>
      </c>
      <c r="N27" s="690">
        <f>L27-M27</f>
        <v>0</v>
      </c>
      <c r="O27" s="294" t="str">
        <f>IF(ISERROR(N27/L27),"-",N27/L27)</f>
        <v>-</v>
      </c>
      <c r="P27" s="184"/>
      <c r="Q27" s="463">
        <v>0</v>
      </c>
      <c r="R27" s="464">
        <v>0</v>
      </c>
      <c r="S27" s="464">
        <f>Q27-R27</f>
        <v>0</v>
      </c>
      <c r="T27" s="295" t="str">
        <f t="shared" si="3"/>
        <v>-</v>
      </c>
      <c r="U27" s="184"/>
      <c r="V27" s="1206">
        <f>B27+G27+L27+Q27</f>
        <v>0</v>
      </c>
      <c r="W27" s="1208">
        <f>C27+H27+M27+R27</f>
        <v>0</v>
      </c>
      <c r="X27" s="1208">
        <f>SUM(W27-V27)</f>
        <v>0</v>
      </c>
      <c r="Y27" s="535" t="str">
        <f t="shared" si="4"/>
        <v>-</v>
      </c>
      <c r="Z27" s="184"/>
      <c r="AA27" s="450">
        <v>0</v>
      </c>
      <c r="AB27" s="451">
        <f t="shared" ref="AB27" si="15">AA27-W27</f>
        <v>0</v>
      </c>
      <c r="AC27" s="564" t="str">
        <f t="shared" si="6"/>
        <v>-</v>
      </c>
      <c r="AD27" s="184"/>
      <c r="AE27" s="850"/>
    </row>
    <row r="28" spans="1:31" x14ac:dyDescent="0.3">
      <c r="A28" s="226"/>
      <c r="B28" s="465"/>
      <c r="C28" s="466"/>
      <c r="D28" s="466"/>
      <c r="E28" s="537"/>
      <c r="F28" s="175"/>
      <c r="G28" s="467"/>
      <c r="H28" s="468"/>
      <c r="I28" s="468"/>
      <c r="J28" s="232"/>
      <c r="K28" s="175"/>
      <c r="L28" s="467"/>
      <c r="M28" s="691"/>
      <c r="N28" s="692"/>
      <c r="O28" s="537"/>
      <c r="P28" s="175"/>
      <c r="Q28" s="467"/>
      <c r="R28" s="468"/>
      <c r="S28" s="468"/>
      <c r="T28" s="538" t="str">
        <f t="shared" si="3"/>
        <v>-</v>
      </c>
      <c r="U28" s="175"/>
      <c r="V28" s="1236"/>
      <c r="W28" s="1237"/>
      <c r="X28" s="1237"/>
      <c r="Y28" s="537"/>
      <c r="Z28" s="175"/>
      <c r="AA28" s="465"/>
      <c r="AB28" s="466"/>
      <c r="AC28" s="565"/>
      <c r="AD28" s="175"/>
      <c r="AE28" s="850"/>
    </row>
    <row r="29" spans="1:31" x14ac:dyDescent="0.3">
      <c r="A29" s="199" t="s">
        <v>75</v>
      </c>
      <c r="B29" s="1207">
        <f>B25+B27</f>
        <v>3.4695724999999999</v>
      </c>
      <c r="C29" s="1207">
        <f>C25+C27</f>
        <v>1.58863328</v>
      </c>
      <c r="D29" s="1207">
        <f>D25+D27</f>
        <v>-1.8809392199999999</v>
      </c>
      <c r="E29" s="237">
        <f>IF(ISERROR(D29/B29),"-",D29/B29)</f>
        <v>-0.54212420118040472</v>
      </c>
      <c r="F29" s="203"/>
      <c r="G29" s="469">
        <f>G25+G27</f>
        <v>3.4695724999999999</v>
      </c>
      <c r="H29" s="470">
        <f>H25+H27</f>
        <v>1.83860709</v>
      </c>
      <c r="I29" s="470">
        <f>I25+I27</f>
        <v>-1.6309654099999999</v>
      </c>
      <c r="J29" s="237">
        <f>IF(ISERROR(I29/G29),"-",I29/G29)</f>
        <v>-0.47007676305942592</v>
      </c>
      <c r="K29" s="203"/>
      <c r="L29" s="469">
        <f>L25+L27</f>
        <v>0</v>
      </c>
      <c r="M29" s="685">
        <f>M25+M27</f>
        <v>0</v>
      </c>
      <c r="N29" s="686">
        <f>N25+N27</f>
        <v>0</v>
      </c>
      <c r="O29" s="237" t="str">
        <f>IF(ISERROR(N29/L29),"-",N29/L29)</f>
        <v>-</v>
      </c>
      <c r="P29" s="203"/>
      <c r="Q29" s="469">
        <f>Q25+Q27</f>
        <v>0</v>
      </c>
      <c r="R29" s="685">
        <f>R25+R27</f>
        <v>0</v>
      </c>
      <c r="S29" s="685">
        <f>S25+S27</f>
        <v>0</v>
      </c>
      <c r="T29" s="237" t="str">
        <f t="shared" si="3"/>
        <v>-</v>
      </c>
      <c r="U29" s="203"/>
      <c r="V29" s="1207">
        <f>V25+V27</f>
        <v>6.9391449999999999</v>
      </c>
      <c r="W29" s="1209">
        <f>W25+W27</f>
        <v>3.4272403699999998</v>
      </c>
      <c r="X29" s="1209">
        <f>X25+X27</f>
        <v>-3.5119046300000001</v>
      </c>
      <c r="Y29" s="237">
        <f>IF(ISERROR(X29/V29),"-",X29/V29)</f>
        <v>-0.50610048211991532</v>
      </c>
      <c r="Z29" s="203"/>
      <c r="AA29" s="471">
        <f>AA25+AA27</f>
        <v>16878289.98</v>
      </c>
      <c r="AB29" s="472">
        <f>AA29-W29</f>
        <v>16878286.552759629</v>
      </c>
      <c r="AC29" s="562">
        <f>IF(ISERROR(AB29/AA29),"-",AB29/AA29)</f>
        <v>0.99999979694386243</v>
      </c>
      <c r="AD29" s="203"/>
      <c r="AE29" s="852"/>
    </row>
    <row r="30" spans="1:31" x14ac:dyDescent="0.3">
      <c r="A30" s="242"/>
      <c r="B30" s="473"/>
      <c r="C30" s="474"/>
      <c r="D30" s="474"/>
      <c r="E30" s="517"/>
      <c r="F30" s="175"/>
      <c r="G30" s="475"/>
      <c r="H30" s="476"/>
      <c r="I30" s="476"/>
      <c r="J30" s="540"/>
      <c r="K30" s="175"/>
      <c r="L30" s="475"/>
      <c r="M30" s="693"/>
      <c r="N30" s="694"/>
      <c r="O30" s="517"/>
      <c r="P30" s="175"/>
      <c r="Q30" s="475"/>
      <c r="R30" s="476"/>
      <c r="S30" s="476"/>
      <c r="T30" s="540"/>
      <c r="U30" s="175"/>
      <c r="V30" s="1234"/>
      <c r="W30" s="1235"/>
      <c r="X30" s="1238"/>
      <c r="Y30" s="517"/>
      <c r="Z30" s="175"/>
      <c r="AA30" s="459"/>
      <c r="AB30" s="474"/>
      <c r="AC30" s="517"/>
      <c r="AD30" s="175"/>
      <c r="AE30" s="850"/>
    </row>
    <row r="31" spans="1:31" x14ac:dyDescent="0.3">
      <c r="A31" s="172" t="s">
        <v>76</v>
      </c>
      <c r="B31" s="450"/>
      <c r="C31" s="451"/>
      <c r="D31" s="451"/>
      <c r="E31" s="535"/>
      <c r="F31" s="184"/>
      <c r="G31" s="463"/>
      <c r="H31" s="464"/>
      <c r="I31" s="464"/>
      <c r="J31" s="541"/>
      <c r="K31" s="184"/>
      <c r="L31" s="463"/>
      <c r="M31" s="695"/>
      <c r="N31" s="696"/>
      <c r="O31" s="535"/>
      <c r="P31" s="184"/>
      <c r="Q31" s="463"/>
      <c r="R31" s="464"/>
      <c r="S31" s="464"/>
      <c r="T31" s="541"/>
      <c r="U31" s="184"/>
      <c r="V31" s="1206"/>
      <c r="W31" s="1208"/>
      <c r="X31" s="1208"/>
      <c r="Y31" s="535"/>
      <c r="Z31" s="184"/>
      <c r="AA31" s="450"/>
      <c r="AB31" s="451"/>
      <c r="AC31" s="535"/>
      <c r="AD31" s="184"/>
      <c r="AE31" s="850"/>
    </row>
    <row r="32" spans="1:31" x14ac:dyDescent="0.3">
      <c r="A32" s="172" t="s">
        <v>77</v>
      </c>
      <c r="B32" s="453"/>
      <c r="C32" s="642"/>
      <c r="D32" s="451"/>
      <c r="E32" s="535"/>
      <c r="F32" s="184"/>
      <c r="G32" s="463"/>
      <c r="H32" s="464"/>
      <c r="I32" s="464"/>
      <c r="J32" s="541"/>
      <c r="K32" s="184"/>
      <c r="L32" s="463"/>
      <c r="M32" s="695"/>
      <c r="N32" s="696"/>
      <c r="O32" s="535"/>
      <c r="P32" s="184"/>
      <c r="Q32" s="463"/>
      <c r="R32" s="464"/>
      <c r="S32" s="464"/>
      <c r="T32" s="541"/>
      <c r="U32" s="184"/>
      <c r="V32" s="1206"/>
      <c r="W32" s="1208"/>
      <c r="X32" s="1208"/>
      <c r="Y32" s="535"/>
      <c r="Z32" s="184"/>
      <c r="AA32" s="450"/>
      <c r="AB32" s="451"/>
      <c r="AC32" s="535"/>
      <c r="AD32" s="184"/>
      <c r="AE32" s="850"/>
    </row>
    <row r="33" spans="1:31" x14ac:dyDescent="0.3">
      <c r="A33" s="190" t="s">
        <v>78</v>
      </c>
      <c r="B33" s="1210">
        <v>0.27376974999999998</v>
      </c>
      <c r="C33" s="1212">
        <v>0.2400341</v>
      </c>
      <c r="D33" s="1208">
        <v>3.373564999999995E-2</v>
      </c>
      <c r="E33" s="220">
        <f>IF(ISERROR(D33/B33),"-",D33/B33)</f>
        <v>0.12322636083789372</v>
      </c>
      <c r="F33" s="191"/>
      <c r="G33" s="1141">
        <v>0.27376974999999998</v>
      </c>
      <c r="H33" s="1214">
        <v>0.25090309</v>
      </c>
      <c r="I33" s="1208">
        <f>H33-G33</f>
        <v>-2.2866659999999983E-2</v>
      </c>
      <c r="J33" s="221">
        <f t="shared" ref="J33:J41" si="16">IF(ISERROR(I33/G33),"-",I33/G33)</f>
        <v>-8.3525152066654493E-2</v>
      </c>
      <c r="K33" s="191"/>
      <c r="L33" s="463">
        <v>0</v>
      </c>
      <c r="M33" s="695">
        <v>0</v>
      </c>
      <c r="N33" s="451">
        <f t="shared" ref="N33:N40" si="17">M33-L33</f>
        <v>0</v>
      </c>
      <c r="O33" s="220" t="str">
        <f t="shared" ref="O33:O41" si="18">IF(ISERROR(N33/L33),"-",N33/L33)</f>
        <v>-</v>
      </c>
      <c r="P33" s="191"/>
      <c r="Q33" s="463">
        <v>0</v>
      </c>
      <c r="R33" s="695">
        <v>0</v>
      </c>
      <c r="S33" s="451">
        <f t="shared" ref="S33:S40" si="19">R33-Q33</f>
        <v>0</v>
      </c>
      <c r="T33" s="221" t="str">
        <f t="shared" ref="T33:T41" si="20">IF(ISERROR(S33/Q33),"-",S33/Q33)</f>
        <v>-</v>
      </c>
      <c r="U33" s="191"/>
      <c r="V33" s="1206">
        <f>B33+G33+L33+Q33</f>
        <v>0.54753949999999996</v>
      </c>
      <c r="W33" s="1208">
        <f>C33+H33+M33+R33</f>
        <v>0.49093719000000002</v>
      </c>
      <c r="X33" s="1208">
        <f t="shared" ref="X33:X40" si="21">W33-V33</f>
        <v>-5.6602309999999934E-2</v>
      </c>
      <c r="Y33" s="220">
        <f t="shared" ref="Y33:Y41" si="22">IF(ISERROR(X33/V33),"-",X33/V33)</f>
        <v>-0.10337575645227411</v>
      </c>
      <c r="Z33" s="191"/>
      <c r="AA33" s="450">
        <v>1107079</v>
      </c>
      <c r="AB33" s="451">
        <f t="shared" ref="AB33:AB40" si="23">AA33-W33</f>
        <v>1107078.5090628101</v>
      </c>
      <c r="AC33" s="220">
        <f t="shared" ref="AC33:AC41" si="24">IF(ISERROR(AB33/AA33),"-",AB33/AA33)</f>
        <v>0.99999955654728356</v>
      </c>
      <c r="AD33" s="191"/>
      <c r="AE33" s="523"/>
    </row>
    <row r="34" spans="1:31" x14ac:dyDescent="0.3">
      <c r="A34" s="190" t="s">
        <v>79</v>
      </c>
      <c r="B34" s="453">
        <v>0</v>
      </c>
      <c r="C34" s="1212">
        <v>0</v>
      </c>
      <c r="D34" s="1208">
        <v>0</v>
      </c>
      <c r="E34" s="220" t="str">
        <f t="shared" ref="E34:E40" si="25">IF(ISERROR(D34/B34),"-",D34/B34)</f>
        <v>-</v>
      </c>
      <c r="F34" s="191"/>
      <c r="G34" s="1215">
        <v>0</v>
      </c>
      <c r="H34" s="1216">
        <v>0</v>
      </c>
      <c r="I34" s="1208">
        <f t="shared" ref="I34:I40" si="26">H34-G34</f>
        <v>0</v>
      </c>
      <c r="J34" s="221" t="str">
        <f t="shared" si="16"/>
        <v>-</v>
      </c>
      <c r="K34" s="191"/>
      <c r="L34" s="463">
        <v>0</v>
      </c>
      <c r="M34" s="695">
        <v>0</v>
      </c>
      <c r="N34" s="451">
        <f t="shared" si="17"/>
        <v>0</v>
      </c>
      <c r="O34" s="220" t="str">
        <f t="shared" si="18"/>
        <v>-</v>
      </c>
      <c r="P34" s="191"/>
      <c r="Q34" s="622">
        <v>0</v>
      </c>
      <c r="R34" s="689">
        <v>0</v>
      </c>
      <c r="S34" s="451">
        <f t="shared" si="19"/>
        <v>0</v>
      </c>
      <c r="T34" s="221" t="str">
        <f t="shared" si="20"/>
        <v>-</v>
      </c>
      <c r="U34" s="191"/>
      <c r="V34" s="1239">
        <v>0</v>
      </c>
      <c r="W34" s="1240">
        <v>0</v>
      </c>
      <c r="X34" s="1208">
        <f t="shared" si="21"/>
        <v>0</v>
      </c>
      <c r="Y34" s="220" t="str">
        <f t="shared" si="22"/>
        <v>-</v>
      </c>
      <c r="Z34" s="191"/>
      <c r="AA34" s="705">
        <v>0</v>
      </c>
      <c r="AB34" s="676">
        <f t="shared" si="23"/>
        <v>0</v>
      </c>
      <c r="AC34" s="220" t="str">
        <f t="shared" si="24"/>
        <v>-</v>
      </c>
      <c r="AD34" s="191"/>
      <c r="AE34" s="523"/>
    </row>
    <row r="35" spans="1:31" x14ac:dyDescent="0.3">
      <c r="A35" s="190" t="s">
        <v>81</v>
      </c>
      <c r="B35" s="453">
        <v>1.2318000000000001E-2</v>
      </c>
      <c r="C35" s="1212">
        <v>1.2317950000000001E-2</v>
      </c>
      <c r="D35" s="1208">
        <v>4.999999999970306E-8</v>
      </c>
      <c r="E35" s="220">
        <f t="shared" si="25"/>
        <v>4.0591005033043564E-6</v>
      </c>
      <c r="F35" s="191"/>
      <c r="G35" s="1141">
        <v>1.2318000000000001E-2</v>
      </c>
      <c r="H35" s="1214">
        <v>1.2318030000000001E-2</v>
      </c>
      <c r="I35" s="1208">
        <f t="shared" si="26"/>
        <v>2.9999999999821836E-8</v>
      </c>
      <c r="J35" s="221">
        <f t="shared" si="16"/>
        <v>2.4354603019826134E-6</v>
      </c>
      <c r="K35" s="191"/>
      <c r="L35" s="463">
        <v>0</v>
      </c>
      <c r="M35" s="695">
        <v>0</v>
      </c>
      <c r="N35" s="451">
        <f t="shared" si="17"/>
        <v>0</v>
      </c>
      <c r="O35" s="220" t="str">
        <f t="shared" si="18"/>
        <v>-</v>
      </c>
      <c r="P35" s="191"/>
      <c r="Q35" s="463">
        <v>0</v>
      </c>
      <c r="R35" s="695">
        <v>0</v>
      </c>
      <c r="S35" s="451">
        <f t="shared" si="19"/>
        <v>0</v>
      </c>
      <c r="T35" s="221" t="str">
        <f t="shared" si="20"/>
        <v>-</v>
      </c>
      <c r="U35" s="191"/>
      <c r="V35" s="1206">
        <f t="shared" ref="V35:W38" si="27">B35+G35+L35+Q35</f>
        <v>2.4636000000000002E-2</v>
      </c>
      <c r="W35" s="1208">
        <f t="shared" si="27"/>
        <v>2.4635980000000002E-2</v>
      </c>
      <c r="X35" s="1208">
        <f t="shared" si="21"/>
        <v>-1.9999999999881224E-8</v>
      </c>
      <c r="Y35" s="220">
        <f t="shared" si="22"/>
        <v>-8.1182010066087116E-7</v>
      </c>
      <c r="Z35" s="191"/>
      <c r="AA35" s="450">
        <v>49272.12</v>
      </c>
      <c r="AB35" s="451">
        <f t="shared" si="23"/>
        <v>49272.095364020002</v>
      </c>
      <c r="AC35" s="220">
        <f t="shared" si="24"/>
        <v>0.99999950000162363</v>
      </c>
      <c r="AD35" s="191"/>
      <c r="AE35" s="523"/>
    </row>
    <row r="36" spans="1:31" x14ac:dyDescent="0.3">
      <c r="A36" s="190" t="s">
        <v>106</v>
      </c>
      <c r="B36" s="453">
        <v>1.2E-2</v>
      </c>
      <c r="C36" s="1212">
        <v>4.8419399999999994E-3</v>
      </c>
      <c r="D36" s="1208">
        <v>7.1580600000000008E-3</v>
      </c>
      <c r="E36" s="220">
        <f t="shared" si="25"/>
        <v>0.59650500000000006</v>
      </c>
      <c r="F36" s="256"/>
      <c r="G36" s="1141">
        <v>1.2E-2</v>
      </c>
      <c r="H36" s="1214">
        <v>4.6520699999999995E-3</v>
      </c>
      <c r="I36" s="1208">
        <f t="shared" si="26"/>
        <v>-7.3479300000000008E-3</v>
      </c>
      <c r="J36" s="221">
        <f t="shared" si="16"/>
        <v>-0.61232750000000002</v>
      </c>
      <c r="K36" s="256"/>
      <c r="L36" s="463">
        <v>0</v>
      </c>
      <c r="M36" s="695">
        <v>0</v>
      </c>
      <c r="N36" s="451">
        <f t="shared" si="17"/>
        <v>0</v>
      </c>
      <c r="O36" s="220" t="str">
        <f t="shared" si="18"/>
        <v>-</v>
      </c>
      <c r="P36" s="256"/>
      <c r="Q36" s="463">
        <v>0</v>
      </c>
      <c r="R36" s="695">
        <v>0</v>
      </c>
      <c r="S36" s="451">
        <f t="shared" si="19"/>
        <v>0</v>
      </c>
      <c r="T36" s="295" t="str">
        <f t="shared" si="20"/>
        <v>-</v>
      </c>
      <c r="U36" s="256"/>
      <c r="V36" s="1206">
        <f t="shared" si="27"/>
        <v>2.4E-2</v>
      </c>
      <c r="W36" s="1208">
        <f t="shared" si="27"/>
        <v>9.4940099999999989E-3</v>
      </c>
      <c r="X36" s="1208">
        <f t="shared" si="21"/>
        <v>-1.4505990000000002E-2</v>
      </c>
      <c r="Y36" s="220">
        <f t="shared" si="22"/>
        <v>-0.6044162500000001</v>
      </c>
      <c r="Z36" s="256"/>
      <c r="AA36" s="450">
        <v>48000</v>
      </c>
      <c r="AB36" s="451">
        <f t="shared" si="23"/>
        <v>47999.990505989997</v>
      </c>
      <c r="AC36" s="220">
        <f t="shared" si="24"/>
        <v>0.9999998022081249</v>
      </c>
      <c r="AD36" s="256"/>
      <c r="AE36" s="549"/>
    </row>
    <row r="37" spans="1:31" x14ac:dyDescent="0.3">
      <c r="A37" s="190" t="s">
        <v>80</v>
      </c>
      <c r="B37" s="453">
        <v>1.2E-2</v>
      </c>
      <c r="C37" s="1212">
        <v>1.0833200000000001E-2</v>
      </c>
      <c r="D37" s="1208">
        <v>1.1667999999999991E-3</v>
      </c>
      <c r="E37" s="220">
        <f t="shared" si="25"/>
        <v>9.7233333333333255E-2</v>
      </c>
      <c r="F37" s="256"/>
      <c r="G37" s="1141">
        <v>1.2E-2</v>
      </c>
      <c r="H37" s="1214">
        <v>1.080593E-2</v>
      </c>
      <c r="I37" s="1208">
        <f t="shared" si="26"/>
        <v>-1.1940700000000002E-3</v>
      </c>
      <c r="J37" s="221">
        <f t="shared" si="16"/>
        <v>-9.9505833333333349E-2</v>
      </c>
      <c r="K37" s="256"/>
      <c r="L37" s="463">
        <v>0</v>
      </c>
      <c r="M37" s="695">
        <v>0</v>
      </c>
      <c r="N37" s="451">
        <f t="shared" si="17"/>
        <v>0</v>
      </c>
      <c r="O37" s="220" t="str">
        <f t="shared" si="18"/>
        <v>-</v>
      </c>
      <c r="P37" s="256"/>
      <c r="Q37" s="463">
        <v>0</v>
      </c>
      <c r="R37" s="695">
        <v>0</v>
      </c>
      <c r="S37" s="451">
        <f t="shared" si="19"/>
        <v>0</v>
      </c>
      <c r="T37" s="295" t="str">
        <f t="shared" si="20"/>
        <v>-</v>
      </c>
      <c r="U37" s="256"/>
      <c r="V37" s="1206">
        <f t="shared" si="27"/>
        <v>2.4E-2</v>
      </c>
      <c r="W37" s="1208">
        <f t="shared" si="27"/>
        <v>2.1639129999999999E-2</v>
      </c>
      <c r="X37" s="1208">
        <f t="shared" si="21"/>
        <v>-2.360870000000001E-3</v>
      </c>
      <c r="Y37" s="220">
        <f t="shared" si="22"/>
        <v>-9.8369583333333371E-2</v>
      </c>
      <c r="Z37" s="256"/>
      <c r="AA37" s="450">
        <v>48000</v>
      </c>
      <c r="AB37" s="451">
        <f t="shared" si="23"/>
        <v>47999.978360870002</v>
      </c>
      <c r="AC37" s="220">
        <f t="shared" si="24"/>
        <v>0.99999954918479173</v>
      </c>
      <c r="AD37" s="256"/>
      <c r="AE37" s="549"/>
    </row>
    <row r="38" spans="1:31" x14ac:dyDescent="0.3">
      <c r="A38" s="190" t="s">
        <v>130</v>
      </c>
      <c r="B38" s="453">
        <v>2.4490749999999999E-2</v>
      </c>
      <c r="C38" s="1212">
        <v>1.7427870000000002E-2</v>
      </c>
      <c r="D38" s="1208">
        <v>7.0628799999999971E-3</v>
      </c>
      <c r="E38" s="220">
        <f t="shared" si="25"/>
        <v>0.28838969815134274</v>
      </c>
      <c r="F38" s="191"/>
      <c r="G38" s="1141">
        <v>2.4490749999999999E-2</v>
      </c>
      <c r="H38" s="1214">
        <v>3.3193170000000001E-2</v>
      </c>
      <c r="I38" s="1208">
        <f t="shared" si="26"/>
        <v>8.7024200000000024E-3</v>
      </c>
      <c r="J38" s="221">
        <f t="shared" si="16"/>
        <v>0.35533497340832776</v>
      </c>
      <c r="K38" s="191"/>
      <c r="L38" s="463">
        <v>0</v>
      </c>
      <c r="M38" s="695">
        <v>0</v>
      </c>
      <c r="N38" s="451">
        <f t="shared" si="17"/>
        <v>0</v>
      </c>
      <c r="O38" s="220" t="str">
        <f t="shared" si="18"/>
        <v>-</v>
      </c>
      <c r="P38" s="191"/>
      <c r="Q38" s="463">
        <v>0</v>
      </c>
      <c r="R38" s="695">
        <v>0</v>
      </c>
      <c r="S38" s="451">
        <f t="shared" si="19"/>
        <v>0</v>
      </c>
      <c r="T38" s="221" t="str">
        <f t="shared" si="20"/>
        <v>-</v>
      </c>
      <c r="U38" s="191"/>
      <c r="V38" s="1206">
        <f t="shared" si="27"/>
        <v>4.8981499999999997E-2</v>
      </c>
      <c r="W38" s="1208">
        <f>C38+H38+M38+R38</f>
        <v>5.0621040000000006E-2</v>
      </c>
      <c r="X38" s="1208">
        <f t="shared" si="21"/>
        <v>1.6395400000000088E-3</v>
      </c>
      <c r="Y38" s="220">
        <f t="shared" si="22"/>
        <v>3.347263762849257E-2</v>
      </c>
      <c r="Z38" s="191"/>
      <c r="AA38" s="450">
        <v>90576</v>
      </c>
      <c r="AB38" s="451">
        <f t="shared" si="23"/>
        <v>90575.949378959995</v>
      </c>
      <c r="AC38" s="220">
        <f t="shared" si="24"/>
        <v>0.99999944112082662</v>
      </c>
      <c r="AD38" s="191"/>
      <c r="AE38" s="523"/>
    </row>
    <row r="39" spans="1:31" x14ac:dyDescent="0.3">
      <c r="A39" s="190" t="s">
        <v>129</v>
      </c>
      <c r="B39" s="453">
        <v>0</v>
      </c>
      <c r="C39" s="1212">
        <v>0</v>
      </c>
      <c r="D39" s="1208">
        <f t="shared" ref="D39:D40" si="28">C39-B39</f>
        <v>0</v>
      </c>
      <c r="E39" s="220" t="str">
        <f t="shared" si="25"/>
        <v>-</v>
      </c>
      <c r="F39" s="191"/>
      <c r="G39" s="1141">
        <v>0</v>
      </c>
      <c r="H39" s="1214">
        <v>0</v>
      </c>
      <c r="I39" s="1208">
        <f t="shared" si="26"/>
        <v>0</v>
      </c>
      <c r="J39" s="221" t="str">
        <f t="shared" si="16"/>
        <v>-</v>
      </c>
      <c r="K39" s="191"/>
      <c r="L39" s="463">
        <v>0</v>
      </c>
      <c r="M39" s="695">
        <v>0</v>
      </c>
      <c r="N39" s="451">
        <f t="shared" si="17"/>
        <v>0</v>
      </c>
      <c r="O39" s="220" t="str">
        <f t="shared" si="18"/>
        <v>-</v>
      </c>
      <c r="P39" s="191"/>
      <c r="Q39" s="463">
        <v>0</v>
      </c>
      <c r="R39" s="695">
        <v>0</v>
      </c>
      <c r="S39" s="451">
        <f t="shared" si="19"/>
        <v>0</v>
      </c>
      <c r="T39" s="221" t="str">
        <f t="shared" si="20"/>
        <v>-</v>
      </c>
      <c r="U39" s="191"/>
      <c r="V39" s="1239">
        <v>0</v>
      </c>
      <c r="W39" s="1208">
        <f>C39+H39+M39+R39</f>
        <v>0</v>
      </c>
      <c r="X39" s="1208">
        <f t="shared" si="21"/>
        <v>0</v>
      </c>
      <c r="Y39" s="220" t="str">
        <f t="shared" si="22"/>
        <v>-</v>
      </c>
      <c r="Z39" s="191"/>
      <c r="AA39" s="450">
        <v>0</v>
      </c>
      <c r="AB39" s="451">
        <f t="shared" si="23"/>
        <v>0</v>
      </c>
      <c r="AC39" s="220" t="str">
        <f t="shared" si="24"/>
        <v>-</v>
      </c>
      <c r="AD39" s="191"/>
      <c r="AE39" s="523"/>
    </row>
    <row r="40" spans="1:31" x14ac:dyDescent="0.3">
      <c r="A40" s="258" t="s">
        <v>40</v>
      </c>
      <c r="B40" s="673">
        <v>0</v>
      </c>
      <c r="C40" s="1213">
        <v>0</v>
      </c>
      <c r="D40" s="1208">
        <f t="shared" si="28"/>
        <v>0</v>
      </c>
      <c r="E40" s="220" t="str">
        <f t="shared" si="25"/>
        <v>-</v>
      </c>
      <c r="F40" s="184"/>
      <c r="G40" s="1217">
        <v>0</v>
      </c>
      <c r="H40" s="1218">
        <v>0</v>
      </c>
      <c r="I40" s="1208">
        <f t="shared" si="26"/>
        <v>0</v>
      </c>
      <c r="J40" s="260" t="str">
        <f t="shared" si="16"/>
        <v>-</v>
      </c>
      <c r="K40" s="184"/>
      <c r="L40" s="463">
        <v>0</v>
      </c>
      <c r="M40" s="695">
        <v>0</v>
      </c>
      <c r="N40" s="451">
        <f t="shared" si="17"/>
        <v>0</v>
      </c>
      <c r="O40" s="566" t="str">
        <f t="shared" si="18"/>
        <v>-</v>
      </c>
      <c r="P40" s="184"/>
      <c r="Q40" s="697">
        <v>0</v>
      </c>
      <c r="R40" s="702">
        <v>0</v>
      </c>
      <c r="S40" s="451">
        <f t="shared" si="19"/>
        <v>0</v>
      </c>
      <c r="T40" s="260" t="str">
        <f t="shared" si="20"/>
        <v>-</v>
      </c>
      <c r="U40" s="184"/>
      <c r="V40" s="1206">
        <f>B40+G40+L40+Q40</f>
        <v>0</v>
      </c>
      <c r="W40" s="1208">
        <f>C40+H40+M40+R40</f>
        <v>0</v>
      </c>
      <c r="X40" s="1208">
        <f t="shared" si="21"/>
        <v>0</v>
      </c>
      <c r="Y40" s="259" t="str">
        <f t="shared" si="22"/>
        <v>-</v>
      </c>
      <c r="Z40" s="184"/>
      <c r="AA40" s="450">
        <v>7387.2</v>
      </c>
      <c r="AB40" s="451">
        <f t="shared" si="23"/>
        <v>7387.2</v>
      </c>
      <c r="AC40" s="259">
        <f t="shared" si="24"/>
        <v>1</v>
      </c>
      <c r="AD40" s="184"/>
      <c r="AE40" s="523"/>
    </row>
    <row r="41" spans="1:31" x14ac:dyDescent="0.3">
      <c r="A41" s="199" t="s">
        <v>83</v>
      </c>
      <c r="B41" s="1207">
        <f>SUM(B33:B40)</f>
        <v>0.3345785</v>
      </c>
      <c r="C41" s="1207">
        <f t="shared" ref="C41:D41" si="29">SUM(C33:C40)</f>
        <v>0.28545505999999998</v>
      </c>
      <c r="D41" s="1207">
        <f t="shared" si="29"/>
        <v>4.9123439999999949E-2</v>
      </c>
      <c r="E41" s="237">
        <f t="shared" ref="E41" si="30">IF(ISERROR(D41/B41),"-",D41/B41)</f>
        <v>0.14682186691613464</v>
      </c>
      <c r="F41" s="191"/>
      <c r="G41" s="1207">
        <f>SUM(G33:G40)</f>
        <v>0.3345785</v>
      </c>
      <c r="H41" s="1209">
        <f>SUM(H33:H40)</f>
        <v>0.31187229</v>
      </c>
      <c r="I41" s="1209">
        <f>SUM(I33:I40)</f>
        <v>-2.2706209999999984E-2</v>
      </c>
      <c r="J41" s="237">
        <f t="shared" si="16"/>
        <v>-6.7865119844819632E-2</v>
      </c>
      <c r="K41" s="191"/>
      <c r="L41" s="469">
        <f>SUM(L33:L40)</f>
        <v>0</v>
      </c>
      <c r="M41" s="685">
        <f>SUM(M33:M40)</f>
        <v>0</v>
      </c>
      <c r="N41" s="686">
        <f>SUM(N33:N40)</f>
        <v>0</v>
      </c>
      <c r="O41" s="237" t="str">
        <f t="shared" si="18"/>
        <v>-</v>
      </c>
      <c r="P41" s="191"/>
      <c r="Q41" s="469">
        <f>SUM(Q33:Q40)</f>
        <v>0</v>
      </c>
      <c r="R41" s="685">
        <f>SUM(R33:R40)</f>
        <v>0</v>
      </c>
      <c r="S41" s="686">
        <f>SUM(S33:S40)</f>
        <v>0</v>
      </c>
      <c r="T41" s="237" t="str">
        <f t="shared" si="20"/>
        <v>-</v>
      </c>
      <c r="U41" s="191"/>
      <c r="V41" s="1207">
        <f>SUM(V33:V40)</f>
        <v>0.669157</v>
      </c>
      <c r="W41" s="1209">
        <f>SUM(W33:W40)</f>
        <v>0.59732735000000003</v>
      </c>
      <c r="X41" s="1209">
        <f>SUM(X33:X40)</f>
        <v>-7.1829649999999926E-2</v>
      </c>
      <c r="Y41" s="237">
        <f t="shared" si="22"/>
        <v>-0.10734349338047712</v>
      </c>
      <c r="Z41" s="191"/>
      <c r="AA41" s="471">
        <f>SUM(AA33:AA40)</f>
        <v>1350314.32</v>
      </c>
      <c r="AB41" s="471">
        <f>SUM(AB33:AB40)</f>
        <v>1350313.7226726501</v>
      </c>
      <c r="AC41" s="544">
        <f t="shared" si="24"/>
        <v>0.99999955763829129</v>
      </c>
      <c r="AD41" s="191"/>
      <c r="AE41" s="1058"/>
    </row>
    <row r="42" spans="1:31" x14ac:dyDescent="0.3">
      <c r="A42" s="242"/>
      <c r="B42" s="459"/>
      <c r="C42" s="460"/>
      <c r="D42" s="460"/>
      <c r="E42" s="532"/>
      <c r="F42" s="184"/>
      <c r="G42" s="461"/>
      <c r="H42" s="462"/>
      <c r="I42" s="462"/>
      <c r="J42" s="545"/>
      <c r="K42" s="184"/>
      <c r="L42" s="461"/>
      <c r="M42" s="687"/>
      <c r="N42" s="688"/>
      <c r="O42" s="532"/>
      <c r="P42" s="184"/>
      <c r="Q42" s="461"/>
      <c r="R42" s="462"/>
      <c r="S42" s="462"/>
      <c r="T42" s="545"/>
      <c r="U42" s="184"/>
      <c r="V42" s="1234"/>
      <c r="W42" s="1235"/>
      <c r="X42" s="1235"/>
      <c r="Y42" s="213"/>
      <c r="Z42" s="184"/>
      <c r="AA42" s="459"/>
      <c r="AB42" s="460"/>
      <c r="AC42" s="213"/>
      <c r="AD42" s="184"/>
      <c r="AE42" s="549"/>
    </row>
    <row r="43" spans="1:31" x14ac:dyDescent="0.3">
      <c r="A43" s="172" t="s">
        <v>84</v>
      </c>
      <c r="B43" s="481"/>
      <c r="C43" s="482"/>
      <c r="D43" s="482"/>
      <c r="E43" s="546"/>
      <c r="F43" s="175"/>
      <c r="G43" s="483"/>
      <c r="H43" s="484"/>
      <c r="I43" s="484"/>
      <c r="J43" s="547"/>
      <c r="K43" s="175"/>
      <c r="L43" s="483"/>
      <c r="M43" s="699"/>
      <c r="N43" s="700"/>
      <c r="O43" s="546"/>
      <c r="P43" s="175"/>
      <c r="Q43" s="483"/>
      <c r="R43" s="484"/>
      <c r="S43" s="484"/>
      <c r="T43" s="547"/>
      <c r="U43" s="175"/>
      <c r="V43" s="1241"/>
      <c r="W43" s="1242"/>
      <c r="X43" s="1208"/>
      <c r="Y43" s="251"/>
      <c r="Z43" s="175"/>
      <c r="AA43" s="481"/>
      <c r="AB43" s="451"/>
      <c r="AC43" s="251"/>
      <c r="AD43" s="175"/>
      <c r="AE43" s="549"/>
    </row>
    <row r="44" spans="1:31" x14ac:dyDescent="0.3">
      <c r="A44" s="190" t="s">
        <v>85</v>
      </c>
      <c r="B44" s="1210">
        <v>3.7500000000000001E-4</v>
      </c>
      <c r="C44" s="1211">
        <v>6.3000000000000003E-4</v>
      </c>
      <c r="D44" s="1208">
        <f>C44-B44</f>
        <v>2.5500000000000002E-4</v>
      </c>
      <c r="E44" s="220">
        <f t="shared" ref="E44:E51" si="31">IF(ISERROR(D44/B44),"-",D44/B44)</f>
        <v>0.68</v>
      </c>
      <c r="F44" s="191"/>
      <c r="G44" s="1141">
        <v>3.7500000000000001E-4</v>
      </c>
      <c r="H44" s="1214">
        <v>2.43E-4</v>
      </c>
      <c r="I44" s="1208">
        <f t="shared" ref="I44:I75" si="32">H44-G44</f>
        <v>-1.3200000000000001E-4</v>
      </c>
      <c r="J44" s="221">
        <f t="shared" ref="J44:J71" si="33">IF(ISERROR(I44/G44),"-",I44/G44)</f>
        <v>-0.35200000000000004</v>
      </c>
      <c r="K44" s="191"/>
      <c r="L44" s="463">
        <v>0</v>
      </c>
      <c r="M44" s="695">
        <v>0</v>
      </c>
      <c r="N44" s="451">
        <f t="shared" ref="N44:N75" si="34">M44-L44</f>
        <v>0</v>
      </c>
      <c r="O44" s="220" t="str">
        <f t="shared" ref="O44:O50" si="35">IF(ISERROR(N44/L44),"-",N44/L44)</f>
        <v>-</v>
      </c>
      <c r="P44" s="191"/>
      <c r="Q44" s="463">
        <v>0</v>
      </c>
      <c r="R44" s="464">
        <v>0</v>
      </c>
      <c r="S44" s="451">
        <f t="shared" ref="S44:S75" si="36">R44-Q44</f>
        <v>0</v>
      </c>
      <c r="T44" s="221" t="str">
        <f t="shared" ref="T44:T50" si="37">IF(ISERROR(S44/Q44),"-",S44/Q44)</f>
        <v>-</v>
      </c>
      <c r="U44" s="191"/>
      <c r="V44" s="1239">
        <f t="shared" ref="V44:W50" si="38">B44+G44+L44+Q44</f>
        <v>7.5000000000000002E-4</v>
      </c>
      <c r="W44" s="1208">
        <f>C44+H44+M44+R44</f>
        <v>8.7300000000000008E-4</v>
      </c>
      <c r="X44" s="1208">
        <f t="shared" ref="X44:X75" si="39">W44-V44</f>
        <v>1.2300000000000006E-4</v>
      </c>
      <c r="Y44" s="220">
        <f>IF(ISERROR(X44/V44),"-",X44/V44)</f>
        <v>0.16400000000000009</v>
      </c>
      <c r="Z44" s="191"/>
      <c r="AA44" s="450">
        <v>1500</v>
      </c>
      <c r="AB44" s="450">
        <f t="shared" ref="AB44:AB50" si="40">AA44-W44</f>
        <v>1499.999127</v>
      </c>
      <c r="AC44" s="220">
        <f t="shared" ref="AC44:AC75" si="41">IF(ISERROR(AB44/AA44),"-",AB44/AA44)</f>
        <v>0.99999941800000003</v>
      </c>
      <c r="AD44" s="191"/>
      <c r="AE44" s="1064"/>
    </row>
    <row r="45" spans="1:31" x14ac:dyDescent="0.3">
      <c r="A45" s="190" t="s">
        <v>128</v>
      </c>
      <c r="B45" s="1210">
        <v>1.8874999999999999E-2</v>
      </c>
      <c r="C45" s="1211">
        <v>3.4879389999999996E-2</v>
      </c>
      <c r="D45" s="1208">
        <f t="shared" ref="D45:D75" si="42">C45-B45</f>
        <v>1.6004389999999997E-2</v>
      </c>
      <c r="E45" s="220">
        <f t="shared" si="31"/>
        <v>0.84791470198675478</v>
      </c>
      <c r="F45" s="256"/>
      <c r="G45" s="1141">
        <v>1.8874999999999999E-2</v>
      </c>
      <c r="H45" s="1214">
        <v>1.2096899999999999E-2</v>
      </c>
      <c r="I45" s="1208">
        <f t="shared" si="32"/>
        <v>-6.7781000000000004E-3</v>
      </c>
      <c r="J45" s="221">
        <f t="shared" si="33"/>
        <v>-0.35910463576158946</v>
      </c>
      <c r="K45" s="256"/>
      <c r="L45" s="463">
        <v>0</v>
      </c>
      <c r="M45" s="695">
        <v>0</v>
      </c>
      <c r="N45" s="451">
        <f t="shared" si="34"/>
        <v>0</v>
      </c>
      <c r="O45" s="220" t="str">
        <f t="shared" si="35"/>
        <v>-</v>
      </c>
      <c r="P45" s="256"/>
      <c r="Q45" s="463">
        <v>0</v>
      </c>
      <c r="R45" s="695">
        <v>0</v>
      </c>
      <c r="S45" s="451">
        <f t="shared" si="36"/>
        <v>0</v>
      </c>
      <c r="T45" s="221" t="str">
        <f t="shared" si="37"/>
        <v>-</v>
      </c>
      <c r="U45" s="256"/>
      <c r="V45" s="1206">
        <f t="shared" si="38"/>
        <v>3.7749999999999999E-2</v>
      </c>
      <c r="W45" s="1208">
        <f t="shared" si="38"/>
        <v>4.6976289999999997E-2</v>
      </c>
      <c r="X45" s="1208">
        <f t="shared" si="39"/>
        <v>9.2262899999999981E-3</v>
      </c>
      <c r="Y45" s="220">
        <f t="shared" ref="Y45:Y75" si="43">IF(ISERROR(X45/V45),"-",X45/V45)</f>
        <v>0.24440503311258274</v>
      </c>
      <c r="Z45" s="256"/>
      <c r="AA45" s="450">
        <v>75500</v>
      </c>
      <c r="AB45" s="450">
        <f t="shared" si="40"/>
        <v>75499.953023709997</v>
      </c>
      <c r="AC45" s="220">
        <f t="shared" si="41"/>
        <v>0.99999937779748338</v>
      </c>
      <c r="AD45" s="256"/>
      <c r="AE45" s="549"/>
    </row>
    <row r="46" spans="1:31" x14ac:dyDescent="0.3">
      <c r="A46" s="190" t="s">
        <v>127</v>
      </c>
      <c r="B46" s="1210">
        <v>0</v>
      </c>
      <c r="C46" s="1211">
        <v>0</v>
      </c>
      <c r="D46" s="1208">
        <f t="shared" si="42"/>
        <v>0</v>
      </c>
      <c r="E46" s="294" t="str">
        <f t="shared" si="31"/>
        <v>-</v>
      </c>
      <c r="F46" s="256"/>
      <c r="G46" s="1219">
        <v>0</v>
      </c>
      <c r="H46" s="1216">
        <v>0</v>
      </c>
      <c r="I46" s="1208">
        <f t="shared" si="32"/>
        <v>0</v>
      </c>
      <c r="J46" s="295" t="str">
        <f t="shared" si="33"/>
        <v>-</v>
      </c>
      <c r="K46" s="256"/>
      <c r="L46" s="463">
        <v>0</v>
      </c>
      <c r="M46" s="695">
        <v>0</v>
      </c>
      <c r="N46" s="451">
        <f t="shared" si="34"/>
        <v>0</v>
      </c>
      <c r="O46" s="294" t="str">
        <f t="shared" si="35"/>
        <v>-</v>
      </c>
      <c r="P46" s="256"/>
      <c r="Q46" s="622">
        <v>0</v>
      </c>
      <c r="R46" s="695">
        <v>0</v>
      </c>
      <c r="S46" s="451">
        <f t="shared" si="36"/>
        <v>0</v>
      </c>
      <c r="T46" s="295" t="str">
        <f t="shared" si="37"/>
        <v>-</v>
      </c>
      <c r="U46" s="256"/>
      <c r="V46" s="1206">
        <f t="shared" si="38"/>
        <v>0</v>
      </c>
      <c r="W46" s="1243">
        <f t="shared" si="38"/>
        <v>0</v>
      </c>
      <c r="X46" s="1208">
        <f t="shared" si="39"/>
        <v>0</v>
      </c>
      <c r="Y46" s="220" t="str">
        <f t="shared" si="43"/>
        <v>-</v>
      </c>
      <c r="Z46" s="256"/>
      <c r="AA46" s="450">
        <v>0</v>
      </c>
      <c r="AB46" s="451">
        <f t="shared" si="40"/>
        <v>0</v>
      </c>
      <c r="AC46" s="220" t="str">
        <f t="shared" si="41"/>
        <v>-</v>
      </c>
      <c r="AD46" s="256"/>
      <c r="AE46" s="549"/>
    </row>
    <row r="47" spans="1:31" x14ac:dyDescent="0.3">
      <c r="A47" s="190" t="s">
        <v>86</v>
      </c>
      <c r="B47" s="1219">
        <v>3.7499999999999999E-3</v>
      </c>
      <c r="C47" s="1220">
        <v>2.8418499999999999E-3</v>
      </c>
      <c r="D47" s="1208">
        <f t="shared" si="42"/>
        <v>-9.0814999999999993E-4</v>
      </c>
      <c r="E47" s="220">
        <f t="shared" si="31"/>
        <v>-0.24217333333333332</v>
      </c>
      <c r="F47" s="256"/>
      <c r="G47" s="1141">
        <v>3.7499999999999999E-3</v>
      </c>
      <c r="H47" s="1214">
        <v>4.9600699999999996E-3</v>
      </c>
      <c r="I47" s="1208">
        <f t="shared" si="32"/>
        <v>1.2100699999999997E-3</v>
      </c>
      <c r="J47" s="221">
        <f t="shared" si="33"/>
        <v>0.32268533333333327</v>
      </c>
      <c r="K47" s="256"/>
      <c r="L47" s="463">
        <v>0</v>
      </c>
      <c r="M47" s="695">
        <v>0</v>
      </c>
      <c r="N47" s="451">
        <f t="shared" si="34"/>
        <v>0</v>
      </c>
      <c r="O47" s="220" t="str">
        <f t="shared" si="35"/>
        <v>-</v>
      </c>
      <c r="P47" s="256"/>
      <c r="Q47" s="463">
        <v>0</v>
      </c>
      <c r="R47" s="695">
        <v>0</v>
      </c>
      <c r="S47" s="451">
        <f t="shared" si="36"/>
        <v>0</v>
      </c>
      <c r="T47" s="221" t="str">
        <f t="shared" si="37"/>
        <v>-</v>
      </c>
      <c r="U47" s="256"/>
      <c r="V47" s="1206">
        <f t="shared" si="38"/>
        <v>7.4999999999999997E-3</v>
      </c>
      <c r="W47" s="1208">
        <f t="shared" si="38"/>
        <v>7.8019199999999995E-3</v>
      </c>
      <c r="X47" s="1208">
        <f t="shared" si="39"/>
        <v>3.0191999999999979E-4</v>
      </c>
      <c r="Y47" s="220">
        <f t="shared" si="43"/>
        <v>4.0255999999999972E-2</v>
      </c>
      <c r="Z47" s="256"/>
      <c r="AA47" s="450">
        <v>15000</v>
      </c>
      <c r="AB47" s="451">
        <f t="shared" si="40"/>
        <v>14999.992198080001</v>
      </c>
      <c r="AC47" s="220">
        <f t="shared" si="41"/>
        <v>0.99999947987200011</v>
      </c>
      <c r="AD47" s="256"/>
      <c r="AE47" s="1064"/>
    </row>
    <row r="48" spans="1:31" x14ac:dyDescent="0.3">
      <c r="A48" s="190" t="s">
        <v>87</v>
      </c>
      <c r="B48" s="1210">
        <v>0</v>
      </c>
      <c r="C48" s="1211">
        <v>0</v>
      </c>
      <c r="D48" s="1208">
        <f t="shared" si="42"/>
        <v>0</v>
      </c>
      <c r="E48" s="220" t="str">
        <f t="shared" si="31"/>
        <v>-</v>
      </c>
      <c r="F48" s="256"/>
      <c r="G48" s="1141">
        <v>0</v>
      </c>
      <c r="H48" s="1214">
        <v>0</v>
      </c>
      <c r="I48" s="1208">
        <f t="shared" si="32"/>
        <v>0</v>
      </c>
      <c r="J48" s="221" t="str">
        <f t="shared" si="33"/>
        <v>-</v>
      </c>
      <c r="K48" s="256"/>
      <c r="L48" s="463">
        <v>0</v>
      </c>
      <c r="M48" s="695">
        <v>0</v>
      </c>
      <c r="N48" s="451">
        <f t="shared" si="34"/>
        <v>0</v>
      </c>
      <c r="O48" s="294" t="str">
        <f t="shared" si="35"/>
        <v>-</v>
      </c>
      <c r="P48" s="256"/>
      <c r="Q48" s="463">
        <v>0</v>
      </c>
      <c r="R48" s="695">
        <v>0</v>
      </c>
      <c r="S48" s="451">
        <f t="shared" si="36"/>
        <v>0</v>
      </c>
      <c r="T48" s="221" t="str">
        <f t="shared" si="37"/>
        <v>-</v>
      </c>
      <c r="U48" s="256"/>
      <c r="V48" s="1206">
        <f t="shared" si="38"/>
        <v>0</v>
      </c>
      <c r="W48" s="1208">
        <f t="shared" si="38"/>
        <v>0</v>
      </c>
      <c r="X48" s="1208">
        <f t="shared" si="39"/>
        <v>0</v>
      </c>
      <c r="Y48" s="220" t="str">
        <f t="shared" si="43"/>
        <v>-</v>
      </c>
      <c r="Z48" s="256"/>
      <c r="AA48" s="450">
        <v>0</v>
      </c>
      <c r="AB48" s="451">
        <f t="shared" si="40"/>
        <v>0</v>
      </c>
      <c r="AC48" s="220" t="str">
        <f t="shared" si="41"/>
        <v>-</v>
      </c>
      <c r="AD48" s="256"/>
      <c r="AE48" s="549"/>
    </row>
    <row r="49" spans="1:31" x14ac:dyDescent="0.3">
      <c r="A49" s="190" t="s">
        <v>88</v>
      </c>
      <c r="B49" s="1210">
        <v>5.4999999999999997E-3</v>
      </c>
      <c r="C49" s="1211">
        <v>1.5195999999999999E-3</v>
      </c>
      <c r="D49" s="1208">
        <f t="shared" si="42"/>
        <v>-3.9804000000000003E-3</v>
      </c>
      <c r="E49" s="220">
        <f t="shared" si="31"/>
        <v>-0.72370909090909097</v>
      </c>
      <c r="F49" s="191"/>
      <c r="G49" s="1141">
        <v>5.4999999999999997E-3</v>
      </c>
      <c r="H49" s="1214">
        <v>3.8429599999999999E-3</v>
      </c>
      <c r="I49" s="1208">
        <f t="shared" si="32"/>
        <v>-1.6570399999999998E-3</v>
      </c>
      <c r="J49" s="221">
        <f t="shared" si="33"/>
        <v>-0.30127999999999999</v>
      </c>
      <c r="K49" s="191"/>
      <c r="L49" s="463">
        <v>0</v>
      </c>
      <c r="M49" s="695">
        <v>0</v>
      </c>
      <c r="N49" s="451">
        <f t="shared" si="34"/>
        <v>0</v>
      </c>
      <c r="O49" s="220" t="str">
        <f t="shared" si="35"/>
        <v>-</v>
      </c>
      <c r="P49" s="191"/>
      <c r="Q49" s="463">
        <v>0</v>
      </c>
      <c r="R49" s="695">
        <v>0</v>
      </c>
      <c r="S49" s="451">
        <f t="shared" si="36"/>
        <v>0</v>
      </c>
      <c r="T49" s="221" t="str">
        <f t="shared" si="37"/>
        <v>-</v>
      </c>
      <c r="U49" s="191"/>
      <c r="V49" s="1206">
        <f t="shared" si="38"/>
        <v>1.0999999999999999E-2</v>
      </c>
      <c r="W49" s="1208">
        <f t="shared" si="38"/>
        <v>5.3625599999999997E-3</v>
      </c>
      <c r="X49" s="1208">
        <f t="shared" si="39"/>
        <v>-5.6374399999999996E-3</v>
      </c>
      <c r="Y49" s="220">
        <f t="shared" si="43"/>
        <v>-0.51249454545454542</v>
      </c>
      <c r="Z49" s="191"/>
      <c r="AA49" s="450">
        <v>22000</v>
      </c>
      <c r="AB49" s="451">
        <f t="shared" si="40"/>
        <v>21999.994637439999</v>
      </c>
      <c r="AC49" s="220">
        <f t="shared" si="41"/>
        <v>0.99999975624727266</v>
      </c>
      <c r="AD49" s="191"/>
      <c r="AE49" s="1064"/>
    </row>
    <row r="50" spans="1:31" x14ac:dyDescent="0.3">
      <c r="A50" s="190" t="s">
        <v>89</v>
      </c>
      <c r="B50" s="1210">
        <v>4.0499999999999998E-3</v>
      </c>
      <c r="C50" s="1211">
        <v>0</v>
      </c>
      <c r="D50" s="1208">
        <f t="shared" si="42"/>
        <v>-4.0499999999999998E-3</v>
      </c>
      <c r="E50" s="220">
        <f t="shared" si="31"/>
        <v>-1</v>
      </c>
      <c r="F50" s="191"/>
      <c r="G50" s="1141">
        <v>4.0499999999999998E-3</v>
      </c>
      <c r="H50" s="1214">
        <v>1.6613080000000002E-2</v>
      </c>
      <c r="I50" s="1208">
        <f t="shared" si="32"/>
        <v>1.2563080000000003E-2</v>
      </c>
      <c r="J50" s="221">
        <f t="shared" si="33"/>
        <v>3.1019950617283958</v>
      </c>
      <c r="K50" s="191"/>
      <c r="L50" s="463">
        <v>0</v>
      </c>
      <c r="M50" s="695">
        <v>0</v>
      </c>
      <c r="N50" s="451">
        <f t="shared" si="34"/>
        <v>0</v>
      </c>
      <c r="O50" s="220" t="str">
        <f t="shared" si="35"/>
        <v>-</v>
      </c>
      <c r="P50" s="191"/>
      <c r="Q50" s="622">
        <v>0</v>
      </c>
      <c r="R50" s="689">
        <v>0</v>
      </c>
      <c r="S50" s="451">
        <f t="shared" si="36"/>
        <v>0</v>
      </c>
      <c r="T50" s="221" t="str">
        <f t="shared" si="37"/>
        <v>-</v>
      </c>
      <c r="U50" s="191"/>
      <c r="V50" s="1206">
        <f t="shared" si="38"/>
        <v>8.0999999999999996E-3</v>
      </c>
      <c r="W50" s="1208">
        <f t="shared" si="38"/>
        <v>1.6613080000000002E-2</v>
      </c>
      <c r="X50" s="1208">
        <f t="shared" si="39"/>
        <v>8.5130800000000027E-3</v>
      </c>
      <c r="Y50" s="220">
        <f t="shared" si="43"/>
        <v>1.0509975308641979</v>
      </c>
      <c r="Z50" s="191"/>
      <c r="AA50" s="450">
        <v>16200</v>
      </c>
      <c r="AB50" s="451">
        <f t="shared" si="40"/>
        <v>16199.983386919999</v>
      </c>
      <c r="AC50" s="220">
        <f t="shared" si="41"/>
        <v>0.99999897450123454</v>
      </c>
      <c r="AD50" s="191"/>
      <c r="AE50" s="1064"/>
    </row>
    <row r="51" spans="1:31" x14ac:dyDescent="0.3">
      <c r="A51" s="190" t="s">
        <v>113</v>
      </c>
      <c r="B51" s="1210">
        <v>0</v>
      </c>
      <c r="C51" s="1211">
        <v>0</v>
      </c>
      <c r="D51" s="1208">
        <f t="shared" si="42"/>
        <v>0</v>
      </c>
      <c r="E51" s="220" t="str">
        <f t="shared" si="31"/>
        <v>-</v>
      </c>
      <c r="F51" s="191"/>
      <c r="G51" s="1141">
        <v>0</v>
      </c>
      <c r="H51" s="1214">
        <v>0</v>
      </c>
      <c r="I51" s="1208">
        <f t="shared" si="32"/>
        <v>0</v>
      </c>
      <c r="J51" s="221" t="str">
        <f t="shared" si="33"/>
        <v>-</v>
      </c>
      <c r="K51" s="191"/>
      <c r="L51" s="463">
        <v>0</v>
      </c>
      <c r="M51" s="695">
        <v>0</v>
      </c>
      <c r="N51" s="451">
        <f t="shared" si="34"/>
        <v>0</v>
      </c>
      <c r="O51" s="220"/>
      <c r="P51" s="191"/>
      <c r="Q51" s="463">
        <v>0</v>
      </c>
      <c r="R51" s="695">
        <v>0</v>
      </c>
      <c r="S51" s="451">
        <f t="shared" si="36"/>
        <v>0</v>
      </c>
      <c r="T51" s="221"/>
      <c r="U51" s="191"/>
      <c r="V51" s="1206">
        <v>0</v>
      </c>
      <c r="W51" s="1208">
        <v>0</v>
      </c>
      <c r="X51" s="1208">
        <f t="shared" si="39"/>
        <v>0</v>
      </c>
      <c r="Y51" s="220" t="str">
        <f t="shared" si="43"/>
        <v>-</v>
      </c>
      <c r="Z51" s="191"/>
      <c r="AA51" s="450">
        <v>0</v>
      </c>
      <c r="AB51" s="451">
        <v>0</v>
      </c>
      <c r="AC51" s="220" t="str">
        <f t="shared" si="41"/>
        <v>-</v>
      </c>
      <c r="AD51" s="191"/>
      <c r="AE51" s="1064"/>
    </row>
    <row r="52" spans="1:31" x14ac:dyDescent="0.3">
      <c r="A52" s="190" t="s">
        <v>126</v>
      </c>
      <c r="B52" s="1219">
        <v>0.25</v>
      </c>
      <c r="C52" s="1220">
        <v>0.26338999000000002</v>
      </c>
      <c r="D52" s="1208">
        <f t="shared" si="42"/>
        <v>1.3389990000000018E-2</v>
      </c>
      <c r="E52" s="220">
        <f>IF(ISERROR(D52/B52),"-",D52/B52)</f>
        <v>5.3559960000000073E-2</v>
      </c>
      <c r="F52" s="256"/>
      <c r="G52" s="1221">
        <v>0.25</v>
      </c>
      <c r="H52" s="1222">
        <v>0.26278078999999999</v>
      </c>
      <c r="I52" s="1208">
        <f t="shared" si="32"/>
        <v>1.2780789999999986E-2</v>
      </c>
      <c r="J52" s="221">
        <f t="shared" si="33"/>
        <v>5.1123159999999945E-2</v>
      </c>
      <c r="K52" s="256"/>
      <c r="L52" s="463">
        <v>0</v>
      </c>
      <c r="M52" s="695">
        <v>0</v>
      </c>
      <c r="N52" s="451">
        <f t="shared" si="34"/>
        <v>0</v>
      </c>
      <c r="O52" s="220" t="str">
        <f>IF(ISERROR(N52/L52),"-",N52/L52)</f>
        <v>-</v>
      </c>
      <c r="P52" s="256"/>
      <c r="Q52" s="622">
        <v>0</v>
      </c>
      <c r="R52" s="695">
        <v>0</v>
      </c>
      <c r="S52" s="451">
        <f t="shared" si="36"/>
        <v>0</v>
      </c>
      <c r="T52" s="221" t="str">
        <f>IF(ISERROR(S52/Q52),"-",S52/Q52)</f>
        <v>-</v>
      </c>
      <c r="U52" s="256"/>
      <c r="V52" s="1206">
        <f>B52+G52+L52+Q52</f>
        <v>0.5</v>
      </c>
      <c r="W52" s="1208">
        <f>C52+H52+M52+R52</f>
        <v>0.52617077999999995</v>
      </c>
      <c r="X52" s="1208">
        <f t="shared" si="39"/>
        <v>2.6170779999999949E-2</v>
      </c>
      <c r="Y52" s="220">
        <f t="shared" si="43"/>
        <v>5.2341559999999898E-2</v>
      </c>
      <c r="Z52" s="256"/>
      <c r="AA52" s="450">
        <v>1000000</v>
      </c>
      <c r="AB52" s="451">
        <f>AA52-W52</f>
        <v>999999.47382922005</v>
      </c>
      <c r="AC52" s="220">
        <f t="shared" si="41"/>
        <v>0.99999947382922005</v>
      </c>
      <c r="AD52" s="256"/>
      <c r="AE52" s="549"/>
    </row>
    <row r="53" spans="1:31" x14ac:dyDescent="0.3">
      <c r="A53" s="190" t="s">
        <v>82</v>
      </c>
      <c r="B53" s="1219">
        <v>1.695E-2</v>
      </c>
      <c r="C53" s="1220">
        <v>1.2375000000000001E-2</v>
      </c>
      <c r="D53" s="1208">
        <f t="shared" si="42"/>
        <v>-4.5749999999999992E-3</v>
      </c>
      <c r="E53" s="220">
        <f>IF(ISERROR(D53/B53),"-",D53/B53)</f>
        <v>-0.26991150442477874</v>
      </c>
      <c r="F53" s="256"/>
      <c r="G53" s="1221">
        <v>1.695E-2</v>
      </c>
      <c r="H53" s="1222">
        <v>1.2375000000000001E-2</v>
      </c>
      <c r="I53" s="1208">
        <f t="shared" si="32"/>
        <v>-4.5749999999999992E-3</v>
      </c>
      <c r="J53" s="221">
        <f t="shared" si="33"/>
        <v>-0.26991150442477874</v>
      </c>
      <c r="K53" s="256"/>
      <c r="L53" s="463">
        <v>0</v>
      </c>
      <c r="M53" s="695">
        <v>0</v>
      </c>
      <c r="N53" s="451">
        <f t="shared" si="34"/>
        <v>0</v>
      </c>
      <c r="O53" s="220" t="str">
        <f>IF(ISERROR(N53/L53),"-",N53/L53)</f>
        <v>-</v>
      </c>
      <c r="P53" s="256"/>
      <c r="Q53" s="622">
        <v>0</v>
      </c>
      <c r="R53" s="689">
        <v>0</v>
      </c>
      <c r="S53" s="451">
        <f t="shared" si="36"/>
        <v>0</v>
      </c>
      <c r="T53" s="221" t="str">
        <f>IF(ISERROR(S53/Q53),"-",S53/Q53)</f>
        <v>-</v>
      </c>
      <c r="U53" s="256"/>
      <c r="V53" s="1206">
        <f>B53+G53+L53+Q53</f>
        <v>3.39E-2</v>
      </c>
      <c r="W53" s="1240">
        <f>C53+H53+M53+R53</f>
        <v>2.4750000000000001E-2</v>
      </c>
      <c r="X53" s="1208">
        <f t="shared" si="39"/>
        <v>-9.1499999999999984E-3</v>
      </c>
      <c r="Y53" s="220">
        <f t="shared" si="43"/>
        <v>-0.26991150442477874</v>
      </c>
      <c r="Z53" s="256"/>
      <c r="AA53" s="450">
        <v>67800</v>
      </c>
      <c r="AB53" s="451">
        <f>AA53-W53</f>
        <v>67799.975250000003</v>
      </c>
      <c r="AC53" s="220">
        <f t="shared" si="41"/>
        <v>0.99999963495575228</v>
      </c>
      <c r="AD53" s="256"/>
      <c r="AE53" s="523"/>
    </row>
    <row r="54" spans="1:31" x14ac:dyDescent="0.3">
      <c r="A54" s="190" t="s">
        <v>125</v>
      </c>
      <c r="B54" s="1219">
        <v>0</v>
      </c>
      <c r="C54" s="1220">
        <v>0</v>
      </c>
      <c r="D54" s="1208">
        <f t="shared" si="42"/>
        <v>0</v>
      </c>
      <c r="E54" s="220"/>
      <c r="F54" s="256"/>
      <c r="G54" s="1223">
        <v>0</v>
      </c>
      <c r="H54" s="1222">
        <v>0</v>
      </c>
      <c r="I54" s="1208">
        <f t="shared" si="32"/>
        <v>0</v>
      </c>
      <c r="J54" s="221" t="str">
        <f t="shared" si="33"/>
        <v>-</v>
      </c>
      <c r="K54" s="256"/>
      <c r="L54" s="463">
        <v>0</v>
      </c>
      <c r="M54" s="695">
        <v>0</v>
      </c>
      <c r="N54" s="451">
        <f t="shared" si="34"/>
        <v>0</v>
      </c>
      <c r="O54" s="220"/>
      <c r="P54" s="256"/>
      <c r="Q54" s="622">
        <v>0</v>
      </c>
      <c r="R54" s="695">
        <v>0</v>
      </c>
      <c r="S54" s="451">
        <f t="shared" si="36"/>
        <v>0</v>
      </c>
      <c r="T54" s="221"/>
      <c r="U54" s="256"/>
      <c r="V54" s="1206">
        <v>0</v>
      </c>
      <c r="W54" s="1208">
        <v>0</v>
      </c>
      <c r="X54" s="1208">
        <f t="shared" si="39"/>
        <v>0</v>
      </c>
      <c r="Y54" s="220" t="str">
        <f t="shared" si="43"/>
        <v>-</v>
      </c>
      <c r="Z54" s="256" t="s">
        <v>65</v>
      </c>
      <c r="AA54" s="450">
        <v>0</v>
      </c>
      <c r="AB54" s="451">
        <v>0</v>
      </c>
      <c r="AC54" s="220" t="str">
        <f t="shared" si="41"/>
        <v>-</v>
      </c>
      <c r="AD54" s="256"/>
      <c r="AE54" s="523"/>
    </row>
    <row r="55" spans="1:31" x14ac:dyDescent="0.3">
      <c r="A55" s="190" t="s">
        <v>90</v>
      </c>
      <c r="B55" s="1219">
        <v>0</v>
      </c>
      <c r="C55" s="1220">
        <v>0</v>
      </c>
      <c r="D55" s="1208">
        <f t="shared" si="42"/>
        <v>0</v>
      </c>
      <c r="E55" s="220" t="str">
        <f t="shared" ref="E55:E76" si="44">IF(ISERROR(D55/B55),"-",D55/B55)</f>
        <v>-</v>
      </c>
      <c r="F55" s="256"/>
      <c r="G55" s="1221">
        <v>0</v>
      </c>
      <c r="H55" s="1222">
        <v>0</v>
      </c>
      <c r="I55" s="1208">
        <f t="shared" si="32"/>
        <v>0</v>
      </c>
      <c r="J55" s="221" t="str">
        <f t="shared" si="33"/>
        <v>-</v>
      </c>
      <c r="K55" s="256"/>
      <c r="L55" s="463">
        <v>0</v>
      </c>
      <c r="M55" s="695">
        <v>0</v>
      </c>
      <c r="N55" s="451">
        <f t="shared" si="34"/>
        <v>0</v>
      </c>
      <c r="O55" s="220" t="str">
        <f t="shared" ref="O55:O65" si="45">IF(ISERROR(N55/L55),"-",N55/L55)</f>
        <v>-</v>
      </c>
      <c r="P55" s="256"/>
      <c r="Q55" s="622">
        <v>0</v>
      </c>
      <c r="R55" s="689">
        <v>0</v>
      </c>
      <c r="S55" s="451">
        <f t="shared" si="36"/>
        <v>0</v>
      </c>
      <c r="T55" s="221" t="str">
        <f t="shared" ref="T55:T72" si="46">IF(ISERROR(S55/Q55),"-",S55/Q55)</f>
        <v>-</v>
      </c>
      <c r="U55" s="256"/>
      <c r="V55" s="1206">
        <f t="shared" ref="V55:W75" si="47">B55+G55+L55+Q55</f>
        <v>0</v>
      </c>
      <c r="W55" s="1240">
        <f t="shared" si="47"/>
        <v>0</v>
      </c>
      <c r="X55" s="1208">
        <f t="shared" si="39"/>
        <v>0</v>
      </c>
      <c r="Y55" s="220" t="str">
        <f t="shared" si="43"/>
        <v>-</v>
      </c>
      <c r="Z55" s="256"/>
      <c r="AA55" s="450">
        <v>0</v>
      </c>
      <c r="AB55" s="451">
        <v>0</v>
      </c>
      <c r="AC55" s="220" t="str">
        <f t="shared" si="41"/>
        <v>-</v>
      </c>
      <c r="AD55" s="256"/>
      <c r="AE55" s="523"/>
    </row>
    <row r="56" spans="1:31" x14ac:dyDescent="0.3">
      <c r="A56" s="190" t="s">
        <v>91</v>
      </c>
      <c r="B56" s="1219">
        <v>1E-3</v>
      </c>
      <c r="C56" s="1220">
        <v>2.0688500000000001E-3</v>
      </c>
      <c r="D56" s="1208">
        <f t="shared" si="42"/>
        <v>1.0688500000000001E-3</v>
      </c>
      <c r="E56" s="294">
        <f t="shared" si="44"/>
        <v>1.0688500000000001</v>
      </c>
      <c r="F56" s="256"/>
      <c r="G56" s="1223">
        <v>1E-3</v>
      </c>
      <c r="H56" s="1222">
        <v>3.8917399999999999E-3</v>
      </c>
      <c r="I56" s="1208">
        <f t="shared" si="32"/>
        <v>2.8917399999999998E-3</v>
      </c>
      <c r="J56" s="221">
        <f t="shared" si="33"/>
        <v>2.89174</v>
      </c>
      <c r="K56" s="256"/>
      <c r="L56" s="463">
        <v>0</v>
      </c>
      <c r="M56" s="695">
        <v>0</v>
      </c>
      <c r="N56" s="451">
        <f t="shared" si="34"/>
        <v>0</v>
      </c>
      <c r="O56" s="294" t="str">
        <f t="shared" si="45"/>
        <v>-</v>
      </c>
      <c r="P56" s="256"/>
      <c r="Q56" s="463">
        <v>0</v>
      </c>
      <c r="R56" s="695">
        <v>0</v>
      </c>
      <c r="S56" s="451">
        <f t="shared" si="36"/>
        <v>0</v>
      </c>
      <c r="T56" s="221" t="str">
        <f t="shared" si="46"/>
        <v>-</v>
      </c>
      <c r="U56" s="256"/>
      <c r="V56" s="1206">
        <f t="shared" si="47"/>
        <v>2E-3</v>
      </c>
      <c r="W56" s="1208">
        <f t="shared" si="47"/>
        <v>5.96059E-3</v>
      </c>
      <c r="X56" s="1208">
        <f t="shared" si="39"/>
        <v>3.9605899999999999E-3</v>
      </c>
      <c r="Y56" s="220">
        <f t="shared" si="43"/>
        <v>1.9802949999999999</v>
      </c>
      <c r="Z56" s="256"/>
      <c r="AA56" s="450">
        <v>4000</v>
      </c>
      <c r="AB56" s="642">
        <f t="shared" ref="AB56:AB75" si="48">AA56-W56</f>
        <v>3999.9940394099999</v>
      </c>
      <c r="AC56" s="220">
        <f t="shared" si="41"/>
        <v>0.99999850985249994</v>
      </c>
      <c r="AD56" s="256"/>
      <c r="AE56" s="549"/>
    </row>
    <row r="57" spans="1:31" x14ac:dyDescent="0.3">
      <c r="A57" s="190" t="s">
        <v>92</v>
      </c>
      <c r="B57" s="1210">
        <v>1.6E-2</v>
      </c>
      <c r="C57" s="1211">
        <v>0</v>
      </c>
      <c r="D57" s="1208">
        <f t="shared" si="42"/>
        <v>-1.6E-2</v>
      </c>
      <c r="E57" s="294">
        <f t="shared" si="44"/>
        <v>-1</v>
      </c>
      <c r="F57" s="256"/>
      <c r="G57" s="1223">
        <v>1.6E-2</v>
      </c>
      <c r="H57" s="1224">
        <v>0</v>
      </c>
      <c r="I57" s="1208">
        <f t="shared" si="32"/>
        <v>-1.6E-2</v>
      </c>
      <c r="J57" s="221">
        <f t="shared" si="33"/>
        <v>-1</v>
      </c>
      <c r="K57" s="256"/>
      <c r="L57" s="463">
        <v>0</v>
      </c>
      <c r="M57" s="695">
        <v>0</v>
      </c>
      <c r="N57" s="451">
        <f t="shared" si="34"/>
        <v>0</v>
      </c>
      <c r="O57" s="294" t="str">
        <f t="shared" si="45"/>
        <v>-</v>
      </c>
      <c r="P57" s="256"/>
      <c r="Q57" s="622">
        <v>0</v>
      </c>
      <c r="R57" s="695">
        <v>0</v>
      </c>
      <c r="S57" s="451">
        <f t="shared" si="36"/>
        <v>0</v>
      </c>
      <c r="T57" s="295" t="str">
        <f t="shared" si="46"/>
        <v>-</v>
      </c>
      <c r="U57" s="256"/>
      <c r="V57" s="1206">
        <f t="shared" si="47"/>
        <v>3.2000000000000001E-2</v>
      </c>
      <c r="W57" s="1208">
        <f t="shared" si="47"/>
        <v>0</v>
      </c>
      <c r="X57" s="1208">
        <f t="shared" si="39"/>
        <v>-3.2000000000000001E-2</v>
      </c>
      <c r="Y57" s="220">
        <f t="shared" si="43"/>
        <v>-1</v>
      </c>
      <c r="Z57" s="256"/>
      <c r="AA57" s="450">
        <v>64000</v>
      </c>
      <c r="AB57" s="642">
        <f t="shared" si="48"/>
        <v>64000</v>
      </c>
      <c r="AC57" s="220">
        <f t="shared" si="41"/>
        <v>1</v>
      </c>
      <c r="AD57" s="256"/>
      <c r="AE57" s="549"/>
    </row>
    <row r="58" spans="1:31" x14ac:dyDescent="0.3">
      <c r="A58" s="190" t="s">
        <v>93</v>
      </c>
      <c r="B58" s="1219">
        <v>0</v>
      </c>
      <c r="C58" s="1220">
        <v>0</v>
      </c>
      <c r="D58" s="1208">
        <f t="shared" si="42"/>
        <v>0</v>
      </c>
      <c r="E58" s="220" t="str">
        <f t="shared" si="44"/>
        <v>-</v>
      </c>
      <c r="F58" s="256"/>
      <c r="G58" s="1215">
        <v>0</v>
      </c>
      <c r="H58" s="1216">
        <v>0</v>
      </c>
      <c r="I58" s="1208">
        <f t="shared" si="32"/>
        <v>0</v>
      </c>
      <c r="J58" s="221" t="str">
        <f t="shared" si="33"/>
        <v>-</v>
      </c>
      <c r="K58" s="256"/>
      <c r="L58" s="463">
        <v>0</v>
      </c>
      <c r="M58" s="695">
        <v>0</v>
      </c>
      <c r="N58" s="451">
        <f t="shared" si="34"/>
        <v>0</v>
      </c>
      <c r="O58" s="220" t="str">
        <f t="shared" si="45"/>
        <v>-</v>
      </c>
      <c r="P58" s="256"/>
      <c r="Q58" s="622">
        <v>0</v>
      </c>
      <c r="R58" s="695">
        <v>0</v>
      </c>
      <c r="S58" s="451">
        <f t="shared" si="36"/>
        <v>0</v>
      </c>
      <c r="T58" s="221" t="str">
        <f t="shared" si="46"/>
        <v>-</v>
      </c>
      <c r="U58" s="256"/>
      <c r="V58" s="1206">
        <f t="shared" si="47"/>
        <v>0</v>
      </c>
      <c r="W58" s="1208">
        <f t="shared" si="47"/>
        <v>0</v>
      </c>
      <c r="X58" s="1208">
        <f t="shared" si="39"/>
        <v>0</v>
      </c>
      <c r="Y58" s="220" t="str">
        <f t="shared" si="43"/>
        <v>-</v>
      </c>
      <c r="Z58" s="256"/>
      <c r="AA58" s="450">
        <v>0</v>
      </c>
      <c r="AB58" s="642">
        <f t="shared" si="48"/>
        <v>0</v>
      </c>
      <c r="AC58" s="220" t="str">
        <f t="shared" si="41"/>
        <v>-</v>
      </c>
      <c r="AD58" s="256"/>
      <c r="AE58" s="523"/>
    </row>
    <row r="59" spans="1:31" x14ac:dyDescent="0.3">
      <c r="A59" s="190" t="s">
        <v>94</v>
      </c>
      <c r="B59" s="1210">
        <v>0</v>
      </c>
      <c r="C59" s="1211">
        <v>0</v>
      </c>
      <c r="D59" s="1208">
        <f t="shared" si="42"/>
        <v>0</v>
      </c>
      <c r="E59" s="220" t="str">
        <f t="shared" si="44"/>
        <v>-</v>
      </c>
      <c r="F59" s="256"/>
      <c r="G59" s="1141">
        <v>0</v>
      </c>
      <c r="H59" s="1214">
        <v>0</v>
      </c>
      <c r="I59" s="1208">
        <f t="shared" si="32"/>
        <v>0</v>
      </c>
      <c r="J59" s="221" t="str">
        <f t="shared" si="33"/>
        <v>-</v>
      </c>
      <c r="K59" s="256"/>
      <c r="L59" s="463">
        <v>0</v>
      </c>
      <c r="M59" s="695">
        <v>0</v>
      </c>
      <c r="N59" s="451">
        <f t="shared" si="34"/>
        <v>0</v>
      </c>
      <c r="O59" s="220" t="str">
        <f t="shared" si="45"/>
        <v>-</v>
      </c>
      <c r="P59" s="256"/>
      <c r="Q59" s="463">
        <v>0</v>
      </c>
      <c r="R59" s="695">
        <v>0</v>
      </c>
      <c r="S59" s="451">
        <f t="shared" si="36"/>
        <v>0</v>
      </c>
      <c r="T59" s="221" t="str">
        <f t="shared" si="46"/>
        <v>-</v>
      </c>
      <c r="U59" s="256"/>
      <c r="V59" s="1206">
        <f t="shared" si="47"/>
        <v>0</v>
      </c>
      <c r="W59" s="1208">
        <f t="shared" si="47"/>
        <v>0</v>
      </c>
      <c r="X59" s="1208">
        <f t="shared" si="39"/>
        <v>0</v>
      </c>
      <c r="Y59" s="220" t="str">
        <f t="shared" si="43"/>
        <v>-</v>
      </c>
      <c r="Z59" s="256"/>
      <c r="AA59" s="450">
        <v>0</v>
      </c>
      <c r="AB59" s="642">
        <f t="shared" si="48"/>
        <v>0</v>
      </c>
      <c r="AC59" s="220" t="str">
        <f t="shared" si="41"/>
        <v>-</v>
      </c>
      <c r="AD59" s="256"/>
      <c r="AE59" s="523"/>
    </row>
    <row r="60" spans="1:31" x14ac:dyDescent="0.3">
      <c r="A60" s="190" t="s">
        <v>95</v>
      </c>
      <c r="B60" s="1210">
        <v>9.75E-3</v>
      </c>
      <c r="C60" s="1211">
        <v>2.638737E-2</v>
      </c>
      <c r="D60" s="1208">
        <f t="shared" si="42"/>
        <v>1.6637369999999999E-2</v>
      </c>
      <c r="E60" s="220">
        <f t="shared" si="44"/>
        <v>1.7063969230769229</v>
      </c>
      <c r="F60" s="191"/>
      <c r="G60" s="1141">
        <v>9.75E-3</v>
      </c>
      <c r="H60" s="1214">
        <v>1.3653520000000001E-2</v>
      </c>
      <c r="I60" s="1208">
        <f t="shared" si="32"/>
        <v>3.9035200000000006E-3</v>
      </c>
      <c r="J60" s="221">
        <f t="shared" si="33"/>
        <v>0.40036102564102571</v>
      </c>
      <c r="K60" s="191"/>
      <c r="L60" s="463">
        <v>0</v>
      </c>
      <c r="M60" s="695">
        <v>0</v>
      </c>
      <c r="N60" s="451">
        <f t="shared" si="34"/>
        <v>0</v>
      </c>
      <c r="O60" s="220" t="str">
        <f t="shared" si="45"/>
        <v>-</v>
      </c>
      <c r="P60" s="191"/>
      <c r="Q60" s="463">
        <v>0</v>
      </c>
      <c r="R60" s="695">
        <v>0</v>
      </c>
      <c r="S60" s="451">
        <f t="shared" si="36"/>
        <v>0</v>
      </c>
      <c r="T60" s="221" t="str">
        <f t="shared" si="46"/>
        <v>-</v>
      </c>
      <c r="U60" s="191"/>
      <c r="V60" s="1206">
        <f t="shared" si="47"/>
        <v>1.95E-2</v>
      </c>
      <c r="W60" s="1208">
        <f t="shared" si="47"/>
        <v>4.0040890000000003E-2</v>
      </c>
      <c r="X60" s="1208">
        <f t="shared" si="39"/>
        <v>2.0540890000000003E-2</v>
      </c>
      <c r="Y60" s="220">
        <f t="shared" si="43"/>
        <v>1.0533789743589745</v>
      </c>
      <c r="Z60" s="191"/>
      <c r="AA60" s="450">
        <v>39000</v>
      </c>
      <c r="AB60" s="642">
        <f t="shared" si="48"/>
        <v>38999.959959109998</v>
      </c>
      <c r="AC60" s="220">
        <f t="shared" si="41"/>
        <v>0.9999989733105128</v>
      </c>
      <c r="AD60" s="191"/>
      <c r="AE60" s="523"/>
    </row>
    <row r="61" spans="1:31" x14ac:dyDescent="0.3">
      <c r="A61" s="190" t="s">
        <v>96</v>
      </c>
      <c r="B61" s="1219">
        <v>2.5000000000000001E-3</v>
      </c>
      <c r="C61" s="1220">
        <v>1.5247399999999999E-3</v>
      </c>
      <c r="D61" s="1208">
        <f t="shared" si="42"/>
        <v>-9.7526000000000015E-4</v>
      </c>
      <c r="E61" s="220">
        <f t="shared" si="44"/>
        <v>-0.39010400000000006</v>
      </c>
      <c r="F61" s="191"/>
      <c r="G61" s="1215">
        <v>2.5000000000000001E-3</v>
      </c>
      <c r="H61" s="1216">
        <v>9.5698000000000007E-4</v>
      </c>
      <c r="I61" s="1208">
        <f t="shared" si="32"/>
        <v>-1.54302E-3</v>
      </c>
      <c r="J61" s="221">
        <f t="shared" si="33"/>
        <v>-0.61720799999999998</v>
      </c>
      <c r="K61" s="191"/>
      <c r="L61" s="463">
        <v>0</v>
      </c>
      <c r="M61" s="695">
        <v>0</v>
      </c>
      <c r="N61" s="451">
        <f t="shared" si="34"/>
        <v>0</v>
      </c>
      <c r="O61" s="220" t="str">
        <f t="shared" si="45"/>
        <v>-</v>
      </c>
      <c r="P61" s="191"/>
      <c r="Q61" s="622">
        <v>0</v>
      </c>
      <c r="R61" s="689">
        <v>0</v>
      </c>
      <c r="S61" s="451">
        <f t="shared" si="36"/>
        <v>0</v>
      </c>
      <c r="T61" s="221" t="str">
        <f t="shared" si="46"/>
        <v>-</v>
      </c>
      <c r="U61" s="191"/>
      <c r="V61" s="1206">
        <f t="shared" si="47"/>
        <v>5.0000000000000001E-3</v>
      </c>
      <c r="W61" s="1240">
        <f t="shared" si="47"/>
        <v>2.4817199999999998E-3</v>
      </c>
      <c r="X61" s="1208">
        <f t="shared" si="39"/>
        <v>-2.5182800000000003E-3</v>
      </c>
      <c r="Y61" s="220">
        <f t="shared" si="43"/>
        <v>-0.5036560000000001</v>
      </c>
      <c r="Z61" s="191"/>
      <c r="AA61" s="450">
        <v>10000</v>
      </c>
      <c r="AB61" s="642">
        <f t="shared" si="48"/>
        <v>9999.9975182800008</v>
      </c>
      <c r="AC61" s="220">
        <f t="shared" si="41"/>
        <v>0.99999975182800005</v>
      </c>
      <c r="AD61" s="191"/>
      <c r="AE61" s="523"/>
    </row>
    <row r="62" spans="1:31" x14ac:dyDescent="0.3">
      <c r="A62" s="190" t="s">
        <v>110</v>
      </c>
      <c r="B62" s="1210">
        <v>0.1</v>
      </c>
      <c r="C62" s="1211">
        <v>0.22831416999999998</v>
      </c>
      <c r="D62" s="1208">
        <f t="shared" si="42"/>
        <v>0.12831416999999998</v>
      </c>
      <c r="E62" s="220">
        <f t="shared" si="44"/>
        <v>1.2831416999999996</v>
      </c>
      <c r="F62" s="191"/>
      <c r="G62" s="1141">
        <v>0.1</v>
      </c>
      <c r="H62" s="1214">
        <v>0.26344602</v>
      </c>
      <c r="I62" s="1208">
        <f t="shared" si="32"/>
        <v>0.16344602</v>
      </c>
      <c r="J62" s="221">
        <f t="shared" si="33"/>
        <v>1.6344601999999999</v>
      </c>
      <c r="K62" s="191"/>
      <c r="L62" s="463">
        <v>0</v>
      </c>
      <c r="M62" s="695">
        <v>0</v>
      </c>
      <c r="N62" s="451">
        <f t="shared" si="34"/>
        <v>0</v>
      </c>
      <c r="O62" s="220" t="str">
        <f t="shared" si="45"/>
        <v>-</v>
      </c>
      <c r="P62" s="191"/>
      <c r="Q62" s="463">
        <v>0</v>
      </c>
      <c r="R62" s="703">
        <v>0</v>
      </c>
      <c r="S62" s="451">
        <f t="shared" si="36"/>
        <v>0</v>
      </c>
      <c r="T62" s="221" t="str">
        <f t="shared" si="46"/>
        <v>-</v>
      </c>
      <c r="U62" s="191"/>
      <c r="V62" s="1206">
        <f t="shared" si="47"/>
        <v>0.2</v>
      </c>
      <c r="W62" s="1208">
        <f t="shared" si="47"/>
        <v>0.49176018999999999</v>
      </c>
      <c r="X62" s="1208">
        <f t="shared" si="39"/>
        <v>0.29176018999999997</v>
      </c>
      <c r="Y62" s="220">
        <f t="shared" si="43"/>
        <v>1.4588009499999999</v>
      </c>
      <c r="Z62" s="191"/>
      <c r="AA62" s="450">
        <v>400000</v>
      </c>
      <c r="AB62" s="642">
        <f t="shared" si="48"/>
        <v>399999.50823981001</v>
      </c>
      <c r="AC62" s="220">
        <f t="shared" si="41"/>
        <v>0.99999877059952502</v>
      </c>
      <c r="AD62" s="191"/>
      <c r="AE62" s="523"/>
    </row>
    <row r="63" spans="1:31" x14ac:dyDescent="0.3">
      <c r="A63" s="190" t="s">
        <v>124</v>
      </c>
      <c r="B63" s="1210">
        <v>6.7500000000000004E-2</v>
      </c>
      <c r="C63" s="1211">
        <v>6.98104E-3</v>
      </c>
      <c r="D63" s="1208">
        <f t="shared" si="42"/>
        <v>-6.0518960000000004E-2</v>
      </c>
      <c r="E63" s="220">
        <f t="shared" si="44"/>
        <v>-0.89657718518518514</v>
      </c>
      <c r="F63" s="191"/>
      <c r="G63" s="1141">
        <v>6.7500000000000004E-2</v>
      </c>
      <c r="H63" s="1214">
        <v>4.8491510000000002E-2</v>
      </c>
      <c r="I63" s="1208">
        <f t="shared" si="32"/>
        <v>-1.9008490000000003E-2</v>
      </c>
      <c r="J63" s="221">
        <f t="shared" si="33"/>
        <v>-0.28160725925925928</v>
      </c>
      <c r="K63" s="191"/>
      <c r="L63" s="463">
        <v>0</v>
      </c>
      <c r="M63" s="695">
        <v>0</v>
      </c>
      <c r="N63" s="451">
        <f t="shared" si="34"/>
        <v>0</v>
      </c>
      <c r="O63" s="220" t="str">
        <f t="shared" si="45"/>
        <v>-</v>
      </c>
      <c r="P63" s="191"/>
      <c r="Q63" s="463">
        <v>0</v>
      </c>
      <c r="R63" s="703">
        <v>0</v>
      </c>
      <c r="S63" s="451">
        <f>R63-Q63</f>
        <v>0</v>
      </c>
      <c r="T63" s="221" t="str">
        <f t="shared" si="46"/>
        <v>-</v>
      </c>
      <c r="U63" s="191"/>
      <c r="V63" s="1206">
        <f t="shared" si="47"/>
        <v>0.13500000000000001</v>
      </c>
      <c r="W63" s="1208">
        <f t="shared" si="47"/>
        <v>5.5472550000000002E-2</v>
      </c>
      <c r="X63" s="1208">
        <f t="shared" si="39"/>
        <v>-7.952745E-2</v>
      </c>
      <c r="Y63" s="220">
        <f t="shared" si="43"/>
        <v>-0.58909222222222213</v>
      </c>
      <c r="Z63" s="191"/>
      <c r="AA63" s="450">
        <v>270000</v>
      </c>
      <c r="AB63" s="642">
        <f t="shared" si="48"/>
        <v>269999.94452745002</v>
      </c>
      <c r="AC63" s="220">
        <f t="shared" si="41"/>
        <v>0.99999979454611121</v>
      </c>
      <c r="AD63" s="191"/>
      <c r="AE63" s="523"/>
    </row>
    <row r="64" spans="1:31" x14ac:dyDescent="0.3">
      <c r="A64" s="190" t="s">
        <v>123</v>
      </c>
      <c r="B64" s="1219">
        <v>0</v>
      </c>
      <c r="C64" s="1220">
        <v>0</v>
      </c>
      <c r="D64" s="1208">
        <f t="shared" si="42"/>
        <v>0</v>
      </c>
      <c r="E64" s="220" t="str">
        <f t="shared" si="44"/>
        <v>-</v>
      </c>
      <c r="F64" s="256"/>
      <c r="G64" s="1215">
        <v>0</v>
      </c>
      <c r="H64" s="1216">
        <v>0</v>
      </c>
      <c r="I64" s="1208">
        <f t="shared" si="32"/>
        <v>0</v>
      </c>
      <c r="J64" s="221" t="str">
        <f t="shared" si="33"/>
        <v>-</v>
      </c>
      <c r="K64" s="256"/>
      <c r="L64" s="463">
        <v>0</v>
      </c>
      <c r="M64" s="695">
        <v>0</v>
      </c>
      <c r="N64" s="451">
        <f t="shared" si="34"/>
        <v>0</v>
      </c>
      <c r="O64" s="220" t="str">
        <f t="shared" si="45"/>
        <v>-</v>
      </c>
      <c r="P64" s="256"/>
      <c r="Q64" s="622">
        <v>0</v>
      </c>
      <c r="R64" s="704">
        <v>0</v>
      </c>
      <c r="S64" s="451">
        <f t="shared" si="36"/>
        <v>0</v>
      </c>
      <c r="T64" s="221" t="str">
        <f t="shared" si="46"/>
        <v>-</v>
      </c>
      <c r="U64" s="256"/>
      <c r="V64" s="1206">
        <f t="shared" si="47"/>
        <v>0</v>
      </c>
      <c r="W64" s="1240">
        <f t="shared" si="47"/>
        <v>0</v>
      </c>
      <c r="X64" s="1208">
        <f t="shared" si="39"/>
        <v>0</v>
      </c>
      <c r="Y64" s="220" t="str">
        <f t="shared" si="43"/>
        <v>-</v>
      </c>
      <c r="Z64" s="256"/>
      <c r="AA64" s="450">
        <v>0</v>
      </c>
      <c r="AB64" s="642">
        <f t="shared" si="48"/>
        <v>0</v>
      </c>
      <c r="AC64" s="220" t="str">
        <f t="shared" si="41"/>
        <v>-</v>
      </c>
      <c r="AD64" s="256"/>
      <c r="AE64" s="523"/>
    </row>
    <row r="65" spans="1:31" x14ac:dyDescent="0.3">
      <c r="A65" s="190" t="s">
        <v>122</v>
      </c>
      <c r="B65" s="1210">
        <v>1.2500000000000001E-2</v>
      </c>
      <c r="C65" s="1211">
        <v>1.041919E-2</v>
      </c>
      <c r="D65" s="1208">
        <f t="shared" si="42"/>
        <v>-2.0808100000000006E-3</v>
      </c>
      <c r="E65" s="222">
        <f t="shared" si="44"/>
        <v>-0.16646480000000005</v>
      </c>
      <c r="F65" s="256"/>
      <c r="G65" s="1141">
        <v>1.2500000000000001E-2</v>
      </c>
      <c r="H65" s="1214">
        <v>2.2676169999999999E-2</v>
      </c>
      <c r="I65" s="1208">
        <f t="shared" si="32"/>
        <v>1.0176169999999998E-2</v>
      </c>
      <c r="J65" s="221">
        <f t="shared" si="33"/>
        <v>0.81409359999999986</v>
      </c>
      <c r="K65" s="256"/>
      <c r="L65" s="463">
        <v>0</v>
      </c>
      <c r="M65" s="695">
        <v>0</v>
      </c>
      <c r="N65" s="451">
        <f t="shared" si="34"/>
        <v>0</v>
      </c>
      <c r="O65" s="294" t="str">
        <f t="shared" si="45"/>
        <v>-</v>
      </c>
      <c r="P65" s="256"/>
      <c r="Q65" s="463">
        <v>0</v>
      </c>
      <c r="R65" s="703">
        <v>0</v>
      </c>
      <c r="S65" s="451">
        <f t="shared" si="36"/>
        <v>0</v>
      </c>
      <c r="T65" s="221" t="str">
        <f t="shared" si="46"/>
        <v>-</v>
      </c>
      <c r="U65" s="256"/>
      <c r="V65" s="1206">
        <f t="shared" si="47"/>
        <v>2.5000000000000001E-2</v>
      </c>
      <c r="W65" s="1208">
        <f t="shared" si="47"/>
        <v>3.3095359999999997E-2</v>
      </c>
      <c r="X65" s="1208">
        <f t="shared" si="39"/>
        <v>8.0953599999999959E-3</v>
      </c>
      <c r="Y65" s="220">
        <f t="shared" si="43"/>
        <v>0.32381439999999984</v>
      </c>
      <c r="Z65" s="256"/>
      <c r="AA65" s="450">
        <v>50000</v>
      </c>
      <c r="AB65" s="642">
        <f t="shared" si="48"/>
        <v>49999.966904640001</v>
      </c>
      <c r="AC65" s="220">
        <f t="shared" si="41"/>
        <v>0.99999933809280006</v>
      </c>
      <c r="AD65" s="256"/>
      <c r="AE65" s="549"/>
    </row>
    <row r="66" spans="1:31" x14ac:dyDescent="0.3">
      <c r="A66" s="190" t="s">
        <v>114</v>
      </c>
      <c r="B66" s="1210">
        <v>1.125E-2</v>
      </c>
      <c r="C66" s="1211">
        <v>0</v>
      </c>
      <c r="D66" s="1208">
        <f t="shared" si="42"/>
        <v>-1.125E-2</v>
      </c>
      <c r="E66" s="220">
        <f t="shared" si="44"/>
        <v>-1</v>
      </c>
      <c r="F66" s="256"/>
      <c r="G66" s="1141">
        <v>1.125E-2</v>
      </c>
      <c r="H66" s="1214">
        <v>1.34501E-3</v>
      </c>
      <c r="I66" s="1208">
        <f t="shared" si="32"/>
        <v>-9.9049899999999989E-3</v>
      </c>
      <c r="J66" s="221">
        <f t="shared" si="33"/>
        <v>-0.88044355555555553</v>
      </c>
      <c r="K66" s="256"/>
      <c r="L66" s="463">
        <v>0</v>
      </c>
      <c r="M66" s="695">
        <v>0</v>
      </c>
      <c r="N66" s="451">
        <f t="shared" si="34"/>
        <v>0</v>
      </c>
      <c r="O66" s="220" t="str">
        <f>IF(ISERROR(N66/L66),"-",N66/L66)</f>
        <v>-</v>
      </c>
      <c r="P66" s="256"/>
      <c r="Q66" s="622">
        <v>0</v>
      </c>
      <c r="R66" s="704">
        <v>0</v>
      </c>
      <c r="S66" s="451">
        <f t="shared" si="36"/>
        <v>0</v>
      </c>
      <c r="T66" s="221" t="str">
        <f t="shared" si="46"/>
        <v>-</v>
      </c>
      <c r="U66" s="256"/>
      <c r="V66" s="1206">
        <f t="shared" si="47"/>
        <v>2.2499999999999999E-2</v>
      </c>
      <c r="W66" s="1240">
        <f t="shared" si="47"/>
        <v>1.34501E-3</v>
      </c>
      <c r="X66" s="1208">
        <f t="shared" si="39"/>
        <v>-2.1154989999999999E-2</v>
      </c>
      <c r="Y66" s="220">
        <f t="shared" si="43"/>
        <v>-0.94022177777777771</v>
      </c>
      <c r="Z66" s="256"/>
      <c r="AA66" s="450">
        <v>45000</v>
      </c>
      <c r="AB66" s="642">
        <f t="shared" si="48"/>
        <v>44999.998654989999</v>
      </c>
      <c r="AC66" s="220">
        <f t="shared" si="41"/>
        <v>0.99999997011088881</v>
      </c>
      <c r="AD66" s="256"/>
      <c r="AE66" s="523"/>
    </row>
    <row r="67" spans="1:31" x14ac:dyDescent="0.3">
      <c r="A67" s="190" t="s">
        <v>115</v>
      </c>
      <c r="B67" s="1210">
        <v>0</v>
      </c>
      <c r="C67" s="1211">
        <v>0</v>
      </c>
      <c r="D67" s="1208">
        <f t="shared" si="42"/>
        <v>0</v>
      </c>
      <c r="E67" s="294" t="str">
        <f t="shared" si="44"/>
        <v>-</v>
      </c>
      <c r="F67" s="191"/>
      <c r="G67" s="1141">
        <v>0</v>
      </c>
      <c r="H67" s="1214">
        <v>0</v>
      </c>
      <c r="I67" s="1208">
        <f t="shared" si="32"/>
        <v>0</v>
      </c>
      <c r="J67" s="221" t="str">
        <f t="shared" si="33"/>
        <v>-</v>
      </c>
      <c r="K67" s="191"/>
      <c r="L67" s="463">
        <v>0</v>
      </c>
      <c r="M67" s="695">
        <v>0</v>
      </c>
      <c r="N67" s="451">
        <f t="shared" si="34"/>
        <v>0</v>
      </c>
      <c r="O67" s="220" t="str">
        <f t="shared" ref="O67:O75" si="49">IF(ISERROR(N67/L67),"-",N67/L67)</f>
        <v>-</v>
      </c>
      <c r="P67" s="191"/>
      <c r="Q67" s="463">
        <v>0</v>
      </c>
      <c r="R67" s="703">
        <v>0</v>
      </c>
      <c r="S67" s="451">
        <f t="shared" si="36"/>
        <v>0</v>
      </c>
      <c r="T67" s="221" t="str">
        <f t="shared" si="46"/>
        <v>-</v>
      </c>
      <c r="U67" s="191"/>
      <c r="V67" s="1206">
        <f t="shared" si="47"/>
        <v>0</v>
      </c>
      <c r="W67" s="1208">
        <f t="shared" si="47"/>
        <v>0</v>
      </c>
      <c r="X67" s="1208">
        <f t="shared" si="39"/>
        <v>0</v>
      </c>
      <c r="Y67" s="220" t="str">
        <f t="shared" si="43"/>
        <v>-</v>
      </c>
      <c r="Z67" s="191"/>
      <c r="AA67" s="450">
        <v>0</v>
      </c>
      <c r="AB67" s="642">
        <f t="shared" si="48"/>
        <v>0</v>
      </c>
      <c r="AC67" s="220" t="str">
        <f t="shared" si="41"/>
        <v>-</v>
      </c>
      <c r="AD67" s="191"/>
      <c r="AE67" s="549"/>
    </row>
    <row r="68" spans="1:31" x14ac:dyDescent="0.3">
      <c r="A68" s="190" t="s">
        <v>121</v>
      </c>
      <c r="B68" s="1219">
        <v>0</v>
      </c>
      <c r="C68" s="1220">
        <v>0</v>
      </c>
      <c r="D68" s="1208">
        <f t="shared" si="42"/>
        <v>0</v>
      </c>
      <c r="E68" s="294" t="str">
        <f t="shared" si="44"/>
        <v>-</v>
      </c>
      <c r="F68" s="256"/>
      <c r="G68" s="1215">
        <v>0</v>
      </c>
      <c r="H68" s="1216">
        <v>0</v>
      </c>
      <c r="I68" s="1208">
        <f t="shared" si="32"/>
        <v>0</v>
      </c>
      <c r="J68" s="221" t="str">
        <f t="shared" si="33"/>
        <v>-</v>
      </c>
      <c r="K68" s="256"/>
      <c r="L68" s="463">
        <v>0</v>
      </c>
      <c r="M68" s="695">
        <v>0</v>
      </c>
      <c r="N68" s="451">
        <f t="shared" si="34"/>
        <v>0</v>
      </c>
      <c r="O68" s="220" t="str">
        <f t="shared" si="49"/>
        <v>-</v>
      </c>
      <c r="P68" s="256"/>
      <c r="Q68" s="622">
        <v>0</v>
      </c>
      <c r="R68" s="689">
        <v>0</v>
      </c>
      <c r="S68" s="451">
        <f t="shared" si="36"/>
        <v>0</v>
      </c>
      <c r="T68" s="295" t="str">
        <f t="shared" si="46"/>
        <v>-</v>
      </c>
      <c r="U68" s="256"/>
      <c r="V68" s="1206">
        <f t="shared" si="47"/>
        <v>0</v>
      </c>
      <c r="W68" s="1240">
        <f t="shared" si="47"/>
        <v>0</v>
      </c>
      <c r="X68" s="1208">
        <f t="shared" si="39"/>
        <v>0</v>
      </c>
      <c r="Y68" s="220" t="str">
        <f t="shared" si="43"/>
        <v>-</v>
      </c>
      <c r="Z68" s="256"/>
      <c r="AA68" s="450">
        <v>0</v>
      </c>
      <c r="AB68" s="642">
        <f t="shared" si="48"/>
        <v>0</v>
      </c>
      <c r="AC68" s="220" t="str">
        <f t="shared" si="41"/>
        <v>-</v>
      </c>
      <c r="AD68" s="256"/>
      <c r="AE68" s="549"/>
    </row>
    <row r="69" spans="1:31" x14ac:dyDescent="0.3">
      <c r="A69" s="190" t="s">
        <v>97</v>
      </c>
      <c r="B69" s="1210">
        <v>0</v>
      </c>
      <c r="C69" s="1211">
        <v>0</v>
      </c>
      <c r="D69" s="1208">
        <f t="shared" si="42"/>
        <v>0</v>
      </c>
      <c r="E69" s="220" t="str">
        <f t="shared" si="44"/>
        <v>-</v>
      </c>
      <c r="F69" s="256"/>
      <c r="G69" s="1141">
        <v>0</v>
      </c>
      <c r="H69" s="1214">
        <v>0</v>
      </c>
      <c r="I69" s="1208">
        <f t="shared" si="32"/>
        <v>0</v>
      </c>
      <c r="J69" s="221" t="str">
        <f t="shared" si="33"/>
        <v>-</v>
      </c>
      <c r="K69" s="256"/>
      <c r="L69" s="463">
        <v>0</v>
      </c>
      <c r="M69" s="695">
        <v>0</v>
      </c>
      <c r="N69" s="451">
        <f t="shared" si="34"/>
        <v>0</v>
      </c>
      <c r="O69" s="220" t="str">
        <f t="shared" si="49"/>
        <v>-</v>
      </c>
      <c r="P69" s="256"/>
      <c r="Q69" s="463">
        <v>0</v>
      </c>
      <c r="R69" s="695">
        <v>0</v>
      </c>
      <c r="S69" s="451">
        <f t="shared" si="36"/>
        <v>0</v>
      </c>
      <c r="T69" s="221" t="str">
        <f t="shared" si="46"/>
        <v>-</v>
      </c>
      <c r="U69" s="256"/>
      <c r="V69" s="1239">
        <f t="shared" si="47"/>
        <v>0</v>
      </c>
      <c r="W69" s="1208">
        <f t="shared" si="47"/>
        <v>0</v>
      </c>
      <c r="X69" s="1208">
        <f t="shared" si="39"/>
        <v>0</v>
      </c>
      <c r="Y69" s="220" t="str">
        <f t="shared" si="43"/>
        <v>-</v>
      </c>
      <c r="Z69" s="256"/>
      <c r="AA69" s="450">
        <v>0</v>
      </c>
      <c r="AB69" s="642">
        <f t="shared" si="48"/>
        <v>0</v>
      </c>
      <c r="AC69" s="220" t="str">
        <f t="shared" si="41"/>
        <v>-</v>
      </c>
      <c r="AD69" s="256"/>
      <c r="AE69" s="523"/>
    </row>
    <row r="70" spans="1:31" s="571" customFormat="1" x14ac:dyDescent="0.3">
      <c r="A70" s="567" t="s">
        <v>98</v>
      </c>
      <c r="B70" s="1219">
        <v>0</v>
      </c>
      <c r="C70" s="1220">
        <v>0</v>
      </c>
      <c r="D70" s="1208">
        <f t="shared" si="42"/>
        <v>0</v>
      </c>
      <c r="E70" s="568" t="str">
        <f t="shared" si="44"/>
        <v>-</v>
      </c>
      <c r="F70" s="569"/>
      <c r="G70" s="1215">
        <v>0</v>
      </c>
      <c r="H70" s="1216">
        <v>0</v>
      </c>
      <c r="I70" s="1208">
        <f t="shared" si="32"/>
        <v>0</v>
      </c>
      <c r="J70" s="221" t="str">
        <f t="shared" si="33"/>
        <v>-</v>
      </c>
      <c r="K70" s="569"/>
      <c r="L70" s="463">
        <v>0</v>
      </c>
      <c r="M70" s="695">
        <v>0</v>
      </c>
      <c r="N70" s="451">
        <f t="shared" si="34"/>
        <v>0</v>
      </c>
      <c r="O70" s="220" t="str">
        <f t="shared" si="49"/>
        <v>-</v>
      </c>
      <c r="P70" s="569"/>
      <c r="Q70" s="622">
        <v>0</v>
      </c>
      <c r="R70" s="689">
        <v>0</v>
      </c>
      <c r="S70" s="451">
        <f t="shared" si="36"/>
        <v>0</v>
      </c>
      <c r="T70" s="570" t="str">
        <f t="shared" si="46"/>
        <v>-</v>
      </c>
      <c r="U70" s="569"/>
      <c r="V70" s="1239">
        <f t="shared" si="47"/>
        <v>0</v>
      </c>
      <c r="W70" s="1240">
        <f t="shared" si="47"/>
        <v>0</v>
      </c>
      <c r="X70" s="1208">
        <f t="shared" si="39"/>
        <v>0</v>
      </c>
      <c r="Y70" s="220" t="str">
        <f t="shared" si="43"/>
        <v>-</v>
      </c>
      <c r="Z70" s="569"/>
      <c r="AA70" s="450">
        <v>0</v>
      </c>
      <c r="AB70" s="675">
        <f t="shared" si="48"/>
        <v>0</v>
      </c>
      <c r="AC70" s="220" t="str">
        <f t="shared" si="41"/>
        <v>-</v>
      </c>
      <c r="AD70" s="569"/>
      <c r="AE70" s="1057"/>
    </row>
    <row r="71" spans="1:31" s="571" customFormat="1" x14ac:dyDescent="0.3">
      <c r="A71" s="567" t="s">
        <v>116</v>
      </c>
      <c r="B71" s="1219">
        <v>0</v>
      </c>
      <c r="C71" s="1220">
        <v>0</v>
      </c>
      <c r="D71" s="1208">
        <f t="shared" si="42"/>
        <v>0</v>
      </c>
      <c r="E71" s="568" t="str">
        <f t="shared" si="44"/>
        <v>-</v>
      </c>
      <c r="F71" s="572"/>
      <c r="G71" s="1215">
        <v>0</v>
      </c>
      <c r="H71" s="1216">
        <v>0</v>
      </c>
      <c r="I71" s="1208">
        <f t="shared" si="32"/>
        <v>0</v>
      </c>
      <c r="J71" s="221" t="str">
        <f t="shared" si="33"/>
        <v>-</v>
      </c>
      <c r="K71" s="572"/>
      <c r="L71" s="463">
        <v>0</v>
      </c>
      <c r="M71" s="695">
        <v>0</v>
      </c>
      <c r="N71" s="451">
        <f t="shared" si="34"/>
        <v>0</v>
      </c>
      <c r="O71" s="220" t="str">
        <f t="shared" si="49"/>
        <v>-</v>
      </c>
      <c r="P71" s="572"/>
      <c r="Q71" s="622">
        <v>0</v>
      </c>
      <c r="R71" s="689">
        <v>0</v>
      </c>
      <c r="S71" s="451">
        <f t="shared" si="36"/>
        <v>0</v>
      </c>
      <c r="T71" s="570" t="str">
        <f t="shared" si="46"/>
        <v>-</v>
      </c>
      <c r="U71" s="572"/>
      <c r="V71" s="1239">
        <f t="shared" si="47"/>
        <v>0</v>
      </c>
      <c r="W71" s="1240">
        <f t="shared" si="47"/>
        <v>0</v>
      </c>
      <c r="X71" s="1208">
        <f t="shared" si="39"/>
        <v>0</v>
      </c>
      <c r="Y71" s="220" t="str">
        <f t="shared" si="43"/>
        <v>-</v>
      </c>
      <c r="Z71" s="572"/>
      <c r="AA71" s="450">
        <v>0</v>
      </c>
      <c r="AB71" s="675">
        <f t="shared" si="48"/>
        <v>0</v>
      </c>
      <c r="AC71" s="220" t="str">
        <f t="shared" si="41"/>
        <v>-</v>
      </c>
      <c r="AD71" s="572"/>
      <c r="AE71" s="1057"/>
    </row>
    <row r="72" spans="1:31" x14ac:dyDescent="0.3">
      <c r="A72" s="190" t="s">
        <v>99</v>
      </c>
      <c r="B72" s="1210">
        <v>0</v>
      </c>
      <c r="C72" s="1211">
        <v>0</v>
      </c>
      <c r="D72" s="1208">
        <f t="shared" si="42"/>
        <v>0</v>
      </c>
      <c r="E72" s="220" t="str">
        <f t="shared" si="44"/>
        <v>-</v>
      </c>
      <c r="F72" s="191"/>
      <c r="G72" s="1141">
        <v>0</v>
      </c>
      <c r="H72" s="1214">
        <v>0</v>
      </c>
      <c r="I72" s="1208">
        <f t="shared" si="32"/>
        <v>0</v>
      </c>
      <c r="J72" s="221" t="str">
        <f t="shared" ref="J72:J75" si="50">IF(ISERROR(I72/G72),"-",I72/G72)</f>
        <v>-</v>
      </c>
      <c r="K72" s="191"/>
      <c r="L72" s="463">
        <v>0</v>
      </c>
      <c r="M72" s="695">
        <v>0</v>
      </c>
      <c r="N72" s="451">
        <f t="shared" si="34"/>
        <v>0</v>
      </c>
      <c r="O72" s="220" t="str">
        <f t="shared" si="49"/>
        <v>-</v>
      </c>
      <c r="P72" s="191"/>
      <c r="Q72" s="463">
        <v>0</v>
      </c>
      <c r="R72" s="695">
        <v>0</v>
      </c>
      <c r="S72" s="451">
        <f t="shared" si="36"/>
        <v>0</v>
      </c>
      <c r="T72" s="221" t="str">
        <f t="shared" si="46"/>
        <v>-</v>
      </c>
      <c r="U72" s="191"/>
      <c r="V72" s="1239">
        <f t="shared" si="47"/>
        <v>0</v>
      </c>
      <c r="W72" s="1208">
        <f t="shared" si="47"/>
        <v>0</v>
      </c>
      <c r="X72" s="1208">
        <f t="shared" si="39"/>
        <v>0</v>
      </c>
      <c r="Y72" s="220" t="str">
        <f t="shared" si="43"/>
        <v>-</v>
      </c>
      <c r="Z72" s="191"/>
      <c r="AA72" s="450">
        <v>0</v>
      </c>
      <c r="AB72" s="642">
        <f t="shared" si="48"/>
        <v>0</v>
      </c>
      <c r="AC72" s="220" t="str">
        <f t="shared" si="41"/>
        <v>-</v>
      </c>
      <c r="AD72" s="191"/>
      <c r="AE72" s="523"/>
    </row>
    <row r="73" spans="1:31" x14ac:dyDescent="0.3">
      <c r="A73" s="190" t="s">
        <v>100</v>
      </c>
      <c r="B73" s="1219">
        <v>0</v>
      </c>
      <c r="C73" s="1220">
        <v>0</v>
      </c>
      <c r="D73" s="1208">
        <f t="shared" si="42"/>
        <v>0</v>
      </c>
      <c r="E73" s="220" t="str">
        <f t="shared" si="44"/>
        <v>-</v>
      </c>
      <c r="F73" s="256"/>
      <c r="G73" s="1215">
        <v>0</v>
      </c>
      <c r="H73" s="1216">
        <v>0</v>
      </c>
      <c r="I73" s="1208">
        <f t="shared" si="32"/>
        <v>0</v>
      </c>
      <c r="J73" s="221" t="str">
        <f t="shared" si="50"/>
        <v>-</v>
      </c>
      <c r="K73" s="256"/>
      <c r="L73" s="463">
        <v>0</v>
      </c>
      <c r="M73" s="695">
        <v>0</v>
      </c>
      <c r="N73" s="451">
        <f t="shared" si="34"/>
        <v>0</v>
      </c>
      <c r="O73" s="220" t="str">
        <f t="shared" si="49"/>
        <v>-</v>
      </c>
      <c r="P73" s="256"/>
      <c r="Q73" s="622">
        <v>0</v>
      </c>
      <c r="R73" s="689">
        <v>0</v>
      </c>
      <c r="S73" s="451">
        <f t="shared" si="36"/>
        <v>0</v>
      </c>
      <c r="T73" s="221"/>
      <c r="U73" s="256"/>
      <c r="V73" s="1239">
        <f t="shared" si="47"/>
        <v>0</v>
      </c>
      <c r="W73" s="1240">
        <f t="shared" si="47"/>
        <v>0</v>
      </c>
      <c r="X73" s="1208">
        <f t="shared" si="39"/>
        <v>0</v>
      </c>
      <c r="Y73" s="220" t="str">
        <f t="shared" si="43"/>
        <v>-</v>
      </c>
      <c r="Z73" s="256"/>
      <c r="AA73" s="450">
        <v>0</v>
      </c>
      <c r="AB73" s="642">
        <f t="shared" si="48"/>
        <v>0</v>
      </c>
      <c r="AC73" s="220" t="str">
        <f t="shared" si="41"/>
        <v>-</v>
      </c>
      <c r="AD73" s="256"/>
      <c r="AE73" s="549"/>
    </row>
    <row r="74" spans="1:31" x14ac:dyDescent="0.3">
      <c r="A74" s="275" t="s">
        <v>101</v>
      </c>
      <c r="B74" s="1210">
        <v>1.75</v>
      </c>
      <c r="C74" s="1211">
        <v>2.8233042400000001</v>
      </c>
      <c r="D74" s="1208">
        <f t="shared" si="42"/>
        <v>1.0733042400000001</v>
      </c>
      <c r="E74" s="222">
        <f t="shared" si="44"/>
        <v>0.61331670857142861</v>
      </c>
      <c r="F74" s="191"/>
      <c r="G74" s="1141">
        <v>1.75</v>
      </c>
      <c r="H74" s="1214">
        <v>2.3900191299999998</v>
      </c>
      <c r="I74" s="1208">
        <f t="shared" si="32"/>
        <v>0.64001912999999977</v>
      </c>
      <c r="J74" s="223">
        <f t="shared" si="50"/>
        <v>0.365725217142857</v>
      </c>
      <c r="K74" s="191"/>
      <c r="L74" s="463">
        <v>0</v>
      </c>
      <c r="M74" s="695">
        <v>0</v>
      </c>
      <c r="N74" s="451">
        <f t="shared" si="34"/>
        <v>0</v>
      </c>
      <c r="O74" s="220" t="str">
        <f t="shared" si="49"/>
        <v>-</v>
      </c>
      <c r="P74" s="191"/>
      <c r="Q74" s="463">
        <v>0</v>
      </c>
      <c r="R74" s="695">
        <v>0</v>
      </c>
      <c r="S74" s="451">
        <f t="shared" si="36"/>
        <v>0</v>
      </c>
      <c r="T74" s="221" t="str">
        <f>IF(ISERROR(S74/Q74),"-",S74/Q74)</f>
        <v>-</v>
      </c>
      <c r="U74" s="191"/>
      <c r="V74" s="1239">
        <f t="shared" si="47"/>
        <v>3.5</v>
      </c>
      <c r="W74" s="1208">
        <f t="shared" si="47"/>
        <v>5.2133233699999995</v>
      </c>
      <c r="X74" s="1208">
        <f t="shared" si="39"/>
        <v>1.7133233699999995</v>
      </c>
      <c r="Y74" s="220">
        <f t="shared" si="43"/>
        <v>0.48952096285714269</v>
      </c>
      <c r="Z74" s="191"/>
      <c r="AA74" s="450">
        <v>7000000</v>
      </c>
      <c r="AB74" s="642">
        <f t="shared" si="48"/>
        <v>6999994.7866766304</v>
      </c>
      <c r="AC74" s="220">
        <f t="shared" si="41"/>
        <v>0.9999992552395186</v>
      </c>
      <c r="AD74" s="191"/>
      <c r="AE74" s="549"/>
    </row>
    <row r="75" spans="1:31" x14ac:dyDescent="0.3">
      <c r="A75" s="276" t="s">
        <v>120</v>
      </c>
      <c r="B75" s="1210">
        <v>1.625</v>
      </c>
      <c r="C75" s="1211">
        <v>1.0520463599999998</v>
      </c>
      <c r="D75" s="1208">
        <f t="shared" si="42"/>
        <v>-0.57295364000000015</v>
      </c>
      <c r="E75" s="222">
        <f t="shared" si="44"/>
        <v>-0.35258685538461548</v>
      </c>
      <c r="F75" s="191"/>
      <c r="G75" s="1141">
        <v>1.625</v>
      </c>
      <c r="H75" s="1214">
        <v>1.6312303199999998</v>
      </c>
      <c r="I75" s="1208">
        <f t="shared" si="32"/>
        <v>6.2303199999997894E-3</v>
      </c>
      <c r="J75" s="223">
        <f t="shared" si="50"/>
        <v>3.8340430769229473E-3</v>
      </c>
      <c r="K75" s="191"/>
      <c r="L75" s="463">
        <v>0</v>
      </c>
      <c r="M75" s="695">
        <v>0</v>
      </c>
      <c r="N75" s="451">
        <f t="shared" si="34"/>
        <v>0</v>
      </c>
      <c r="O75" s="220" t="str">
        <f t="shared" si="49"/>
        <v>-</v>
      </c>
      <c r="P75" s="191"/>
      <c r="Q75" s="450">
        <v>0</v>
      </c>
      <c r="R75" s="451">
        <v>0</v>
      </c>
      <c r="S75" s="451">
        <f t="shared" si="36"/>
        <v>0</v>
      </c>
      <c r="T75" s="223" t="str">
        <f>IF(ISERROR(S75/Q75),"-",S75/Q75)</f>
        <v>-</v>
      </c>
      <c r="U75" s="191"/>
      <c r="V75" s="1239">
        <f t="shared" si="47"/>
        <v>3.25</v>
      </c>
      <c r="W75" s="1240">
        <f t="shared" si="47"/>
        <v>2.6832766799999996</v>
      </c>
      <c r="X75" s="1208">
        <f t="shared" si="39"/>
        <v>-0.56672332000000036</v>
      </c>
      <c r="Y75" s="220">
        <f t="shared" si="43"/>
        <v>-0.17437640615384625</v>
      </c>
      <c r="Z75" s="191"/>
      <c r="AA75" s="450">
        <v>6500000</v>
      </c>
      <c r="AB75" s="642">
        <f t="shared" si="48"/>
        <v>6499997.3167233197</v>
      </c>
      <c r="AC75" s="220">
        <f t="shared" si="41"/>
        <v>0.99999958718820303</v>
      </c>
      <c r="AD75" s="191"/>
      <c r="AE75" s="549"/>
    </row>
    <row r="76" spans="1:31" x14ac:dyDescent="0.3">
      <c r="A76" s="199" t="s">
        <v>102</v>
      </c>
      <c r="B76" s="1207">
        <f>SUM(B43:B75)</f>
        <v>3.895</v>
      </c>
      <c r="C76" s="1209">
        <f>SUM(C43:C75)</f>
        <v>4.46668179</v>
      </c>
      <c r="D76" s="1209">
        <f>SUM(D43:D75)</f>
        <v>0.57168178999999997</v>
      </c>
      <c r="E76" s="237">
        <f t="shared" si="44"/>
        <v>0.14677324518613608</v>
      </c>
      <c r="F76" s="203"/>
      <c r="G76" s="1207">
        <f>SUM(G43:G75)</f>
        <v>3.895</v>
      </c>
      <c r="H76" s="1209">
        <f>SUM(H43:H75)</f>
        <v>4.6886221999999993</v>
      </c>
      <c r="I76" s="1209">
        <f>SUM(I43:I75)</f>
        <v>0.7936221999999995</v>
      </c>
      <c r="J76" s="237">
        <f>IF(ISERROR(I76/G76),"-",I76/G76)</f>
        <v>0.20375409499358138</v>
      </c>
      <c r="K76" s="203"/>
      <c r="L76" s="469">
        <f>SUM(L43:L75)</f>
        <v>0</v>
      </c>
      <c r="M76" s="470">
        <f>SUM(M43:M75)</f>
        <v>0</v>
      </c>
      <c r="N76" s="470">
        <f>SUM(N43:N75)</f>
        <v>0</v>
      </c>
      <c r="O76" s="237" t="str">
        <f>IF(ISERROR(N76/L76),"-",N76/L76)</f>
        <v>-</v>
      </c>
      <c r="P76" s="203"/>
      <c r="Q76" s="469">
        <f>SUM(Q43:Q75)</f>
        <v>0</v>
      </c>
      <c r="R76" s="470">
        <f>SUM(R43:R75)</f>
        <v>0</v>
      </c>
      <c r="S76" s="470">
        <f>SUM(S43:S75)</f>
        <v>0</v>
      </c>
      <c r="T76" s="237" t="str">
        <f>IF(ISERROR(S76/Q76),"-",S76/Q76)</f>
        <v>-</v>
      </c>
      <c r="U76" s="203"/>
      <c r="V76" s="1207">
        <f>SUM(V43:V75)</f>
        <v>7.79</v>
      </c>
      <c r="W76" s="1209">
        <f>SUM(W43:W75)</f>
        <v>9.1553039900000002</v>
      </c>
      <c r="X76" s="1209">
        <f>SUM(X43:X75)</f>
        <v>1.365303989999999</v>
      </c>
      <c r="Y76" s="238">
        <f>IF(ISERROR(X76/V76),"-",X76/V76)</f>
        <v>0.17526367008985866</v>
      </c>
      <c r="Z76" s="203"/>
      <c r="AA76" s="469">
        <f>SUM(AA43:AA75)</f>
        <v>15580000</v>
      </c>
      <c r="AB76" s="470">
        <f>SUM(AB43:AB75)</f>
        <v>15579990.844696011</v>
      </c>
      <c r="AC76" s="237">
        <f t="shared" ref="AC76" si="51">IF(ISERROR(AB76/AA76),"-",AB76/AA76)</f>
        <v>0.99999941236816503</v>
      </c>
      <c r="AD76" s="203"/>
      <c r="AE76" s="1058"/>
    </row>
    <row r="77" spans="1:31" x14ac:dyDescent="0.3">
      <c r="A77" s="277"/>
      <c r="B77" s="486"/>
      <c r="C77" s="487"/>
      <c r="D77" s="487"/>
      <c r="E77" s="280"/>
      <c r="F77" s="175"/>
      <c r="G77" s="488"/>
      <c r="H77" s="489"/>
      <c r="I77" s="489"/>
      <c r="J77" s="292"/>
      <c r="K77" s="175"/>
      <c r="L77" s="486"/>
      <c r="M77" s="487"/>
      <c r="N77" s="487"/>
      <c r="O77" s="284"/>
      <c r="P77" s="175"/>
      <c r="Q77" s="488"/>
      <c r="R77" s="489"/>
      <c r="S77" s="489"/>
      <c r="T77" s="285"/>
      <c r="U77" s="175"/>
      <c r="V77" s="1231"/>
      <c r="W77" s="1232"/>
      <c r="X77" s="1226"/>
      <c r="Y77" s="238"/>
      <c r="Z77" s="175"/>
      <c r="AA77" s="490"/>
      <c r="AB77" s="487"/>
      <c r="AC77" s="284"/>
      <c r="AD77" s="175"/>
      <c r="AE77" s="549"/>
    </row>
    <row r="78" spans="1:31" ht="19.5" thickBot="1" x14ac:dyDescent="0.35">
      <c r="A78" s="199" t="s">
        <v>103</v>
      </c>
      <c r="B78" s="1207">
        <f>B41+B76+B77</f>
        <v>4.2295784999999997</v>
      </c>
      <c r="C78" s="1209">
        <f>C41+C76+C77</f>
        <v>4.7521368500000003</v>
      </c>
      <c r="D78" s="1209">
        <f>D41+D76+D77</f>
        <v>0.62080522999999987</v>
      </c>
      <c r="E78" s="237">
        <f>IF(ISERROR(D78/B78),"-",D78/B78)</f>
        <v>0.14677709138156436</v>
      </c>
      <c r="F78" s="256"/>
      <c r="G78" s="1207">
        <f>G41+G76+G77</f>
        <v>4.2295784999999997</v>
      </c>
      <c r="H78" s="1209">
        <f>H41+H76+H77</f>
        <v>5.0004944899999995</v>
      </c>
      <c r="I78" s="1209">
        <f>I41+I76+I77</f>
        <v>0.77091598999999955</v>
      </c>
      <c r="J78" s="237">
        <f>IF(ISERROR(I78/G78),"-",I78/G78)</f>
        <v>0.18226780517254842</v>
      </c>
      <c r="K78" s="256"/>
      <c r="L78" s="469">
        <f>L41+L76+L77</f>
        <v>0</v>
      </c>
      <c r="M78" s="470">
        <f>M41+M76+M77</f>
        <v>0</v>
      </c>
      <c r="N78" s="470">
        <f>N41+N76+N77</f>
        <v>0</v>
      </c>
      <c r="O78" s="237" t="str">
        <f>IF(ISERROR(N78/L78),"-",N78/L78)</f>
        <v>-</v>
      </c>
      <c r="P78" s="256"/>
      <c r="Q78" s="469">
        <f>Q41+Q76+Q77</f>
        <v>0</v>
      </c>
      <c r="R78" s="470">
        <f>R41+R76+R77</f>
        <v>0</v>
      </c>
      <c r="S78" s="470">
        <f>S41+S76+S77</f>
        <v>0</v>
      </c>
      <c r="T78" s="237" t="str">
        <f>IF(ISERROR(S78/Q78),"-",S78/Q78)</f>
        <v>-</v>
      </c>
      <c r="U78" s="256"/>
      <c r="V78" s="1207">
        <f>V41+V76+V77</f>
        <v>8.4591569999999994</v>
      </c>
      <c r="W78" s="1209">
        <f>W41+W76+W77</f>
        <v>9.7526313400000006</v>
      </c>
      <c r="X78" s="1209">
        <f>X41+X76+X77</f>
        <v>1.2934743399999991</v>
      </c>
      <c r="Y78" s="238">
        <f>IF(ISERROR(X78/V78),"-",X78/V78)</f>
        <v>0.15290818458624178</v>
      </c>
      <c r="Z78" s="256"/>
      <c r="AA78" s="469">
        <f>AA41+AA76+AA77</f>
        <v>16930314.32</v>
      </c>
      <c r="AB78" s="470">
        <f>AB41+AB76+AB77</f>
        <v>16930304.56736866</v>
      </c>
      <c r="AC78" s="237">
        <f>IF(ISERROR(AB78/AA78),"-",AB78/AA78)</f>
        <v>0.99999942395450225</v>
      </c>
      <c r="AD78" s="256"/>
      <c r="AE78" s="1058"/>
    </row>
    <row r="79" spans="1:31" ht="38.25" thickBot="1" x14ac:dyDescent="0.35">
      <c r="A79" s="288" t="s">
        <v>170</v>
      </c>
      <c r="B79" s="1225">
        <f>B25-B76</f>
        <v>-0.42542750000000007</v>
      </c>
      <c r="C79" s="1225">
        <f t="shared" ref="C79" si="52">C25-C76</f>
        <v>-2.8780485100000002</v>
      </c>
      <c r="D79" s="1225">
        <f>D25-D76</f>
        <v>-2.4526210099999997</v>
      </c>
      <c r="E79" s="289"/>
      <c r="F79" s="290">
        <f>F25-F78</f>
        <v>0</v>
      </c>
      <c r="G79" s="1225">
        <f>G25-G78</f>
        <v>-0.76000599999999974</v>
      </c>
      <c r="H79" s="1225">
        <f>H25-H78</f>
        <v>-3.1618873999999995</v>
      </c>
      <c r="I79" s="1225">
        <f>I25-I78</f>
        <v>-2.4018813999999997</v>
      </c>
      <c r="J79" s="290"/>
      <c r="K79" s="290">
        <f>K25-K78</f>
        <v>0</v>
      </c>
      <c r="L79" s="486">
        <f>L25-L78</f>
        <v>0</v>
      </c>
      <c r="M79" s="486">
        <f>M25-M78</f>
        <v>0</v>
      </c>
      <c r="N79" s="486">
        <f>N25-N78</f>
        <v>0</v>
      </c>
      <c r="O79" s="290"/>
      <c r="P79" s="290">
        <f>P25-P78</f>
        <v>0</v>
      </c>
      <c r="Q79" s="486">
        <f>Q25-Q78</f>
        <v>0</v>
      </c>
      <c r="R79" s="486">
        <f>R25-R78</f>
        <v>0</v>
      </c>
      <c r="S79" s="486">
        <f>S25-S78</f>
        <v>0</v>
      </c>
      <c r="T79" s="290"/>
      <c r="U79" s="290">
        <f>U25-U78</f>
        <v>0</v>
      </c>
      <c r="V79" s="1225">
        <f>V25-V78</f>
        <v>-1.5200119999999995</v>
      </c>
      <c r="W79" s="1225">
        <f>W25-W78</f>
        <v>-6.3253909700000008</v>
      </c>
      <c r="X79" s="1225">
        <f>X25-X78</f>
        <v>-4.8053789699999996</v>
      </c>
      <c r="Y79" s="238">
        <f t="shared" ref="Y79:Y83" si="53">IF(ISERROR(X79/V79),"-",X79/V79)</f>
        <v>3.1614085744059923</v>
      </c>
      <c r="Z79" s="290">
        <f>Z25-Z78</f>
        <v>0</v>
      </c>
      <c r="AA79" s="486">
        <f>AA25-AA78</f>
        <v>-52024.339999999851</v>
      </c>
      <c r="AB79" s="486">
        <f>AB25-AB78</f>
        <v>-52018.014609027654</v>
      </c>
      <c r="AC79" s="856"/>
      <c r="AD79" s="175"/>
      <c r="AE79" s="549"/>
    </row>
    <row r="80" spans="1:31" ht="19.5" thickBot="1" x14ac:dyDescent="0.35">
      <c r="A80" s="291" t="s">
        <v>171</v>
      </c>
      <c r="B80" s="1225"/>
      <c r="C80" s="1226"/>
      <c r="D80" s="1226">
        <f>C80-B80</f>
        <v>0</v>
      </c>
      <c r="E80" s="280"/>
      <c r="F80" s="175"/>
      <c r="G80" s="1229"/>
      <c r="H80" s="1230"/>
      <c r="I80" s="1226">
        <f>H80-G80</f>
        <v>0</v>
      </c>
      <c r="J80" s="292"/>
      <c r="K80" s="175"/>
      <c r="L80" s="486"/>
      <c r="M80" s="487"/>
      <c r="N80" s="487">
        <f>M80-L80</f>
        <v>0</v>
      </c>
      <c r="O80" s="284"/>
      <c r="P80" s="175"/>
      <c r="Q80" s="488"/>
      <c r="R80" s="489"/>
      <c r="S80" s="487">
        <f>R80-Q80</f>
        <v>0</v>
      </c>
      <c r="T80" s="292"/>
      <c r="U80" s="175"/>
      <c r="V80" s="1231"/>
      <c r="W80" s="1232"/>
      <c r="X80" s="1226"/>
      <c r="Y80" s="238"/>
      <c r="Z80" s="175"/>
      <c r="AA80" s="880"/>
      <c r="AB80" s="487"/>
      <c r="AC80" s="284"/>
      <c r="AD80" s="175"/>
      <c r="AE80" s="549"/>
    </row>
    <row r="81" spans="1:31" ht="38.25" thickBot="1" x14ac:dyDescent="0.35">
      <c r="A81" s="293" t="s">
        <v>172</v>
      </c>
      <c r="B81" s="1225">
        <f>B79-B80</f>
        <v>-0.42542750000000007</v>
      </c>
      <c r="C81" s="1225">
        <f t="shared" ref="C81:AA81" si="54">C79-C80</f>
        <v>-2.8780485100000002</v>
      </c>
      <c r="D81" s="1225">
        <f t="shared" si="54"/>
        <v>-2.4526210099999997</v>
      </c>
      <c r="E81" s="289">
        <f>E79-E80</f>
        <v>0</v>
      </c>
      <c r="F81" s="290">
        <f t="shared" si="54"/>
        <v>0</v>
      </c>
      <c r="G81" s="1225">
        <f t="shared" si="54"/>
        <v>-0.76000599999999974</v>
      </c>
      <c r="H81" s="1225">
        <f t="shared" si="54"/>
        <v>-3.1618873999999995</v>
      </c>
      <c r="I81" s="1225">
        <f t="shared" si="54"/>
        <v>-2.4018813999999997</v>
      </c>
      <c r="J81" s="290">
        <f>J79-J80</f>
        <v>0</v>
      </c>
      <c r="K81" s="290">
        <f t="shared" si="54"/>
        <v>0</v>
      </c>
      <c r="L81" s="486">
        <f t="shared" si="54"/>
        <v>0</v>
      </c>
      <c r="M81" s="486">
        <f t="shared" si="54"/>
        <v>0</v>
      </c>
      <c r="N81" s="486">
        <f t="shared" si="54"/>
        <v>0</v>
      </c>
      <c r="O81" s="290">
        <f t="shared" si="54"/>
        <v>0</v>
      </c>
      <c r="P81" s="290">
        <f t="shared" si="54"/>
        <v>0</v>
      </c>
      <c r="Q81" s="486">
        <f t="shared" si="54"/>
        <v>0</v>
      </c>
      <c r="R81" s="486">
        <f t="shared" si="54"/>
        <v>0</v>
      </c>
      <c r="S81" s="486">
        <f t="shared" si="54"/>
        <v>0</v>
      </c>
      <c r="T81" s="290">
        <f>T79-T80</f>
        <v>0</v>
      </c>
      <c r="U81" s="290">
        <f t="shared" si="54"/>
        <v>0</v>
      </c>
      <c r="V81" s="1225">
        <f>V79-V80</f>
        <v>-1.5200119999999995</v>
      </c>
      <c r="W81" s="1225">
        <f t="shared" si="54"/>
        <v>-6.3253909700000008</v>
      </c>
      <c r="X81" s="1225">
        <f t="shared" si="54"/>
        <v>-4.8053789699999996</v>
      </c>
      <c r="Y81" s="238">
        <f t="shared" si="53"/>
        <v>3.1614085744059923</v>
      </c>
      <c r="Z81" s="290">
        <f t="shared" si="54"/>
        <v>0</v>
      </c>
      <c r="AA81" s="486">
        <f t="shared" si="54"/>
        <v>-52024.339999999851</v>
      </c>
      <c r="AB81" s="486">
        <f>AB79-AB80</f>
        <v>-52018.014609027654</v>
      </c>
      <c r="AC81" s="856">
        <f>AC79-AC80</f>
        <v>0</v>
      </c>
      <c r="AD81" s="175"/>
      <c r="AE81" s="549"/>
    </row>
    <row r="82" spans="1:31" x14ac:dyDescent="0.3">
      <c r="A82" s="172" t="s">
        <v>104</v>
      </c>
      <c r="B82" s="1206"/>
      <c r="C82" s="1208"/>
      <c r="D82" s="1208">
        <f>B82-C82</f>
        <v>0</v>
      </c>
      <c r="E82" s="220" t="str">
        <f>IF(ISERROR(D82/B82),"-",D82/B82)</f>
        <v>-</v>
      </c>
      <c r="F82" s="256"/>
      <c r="G82" s="1141"/>
      <c r="H82" s="1214"/>
      <c r="I82" s="1214">
        <f>G82-H82</f>
        <v>0</v>
      </c>
      <c r="J82" s="295" t="str">
        <f>IF(ISERROR(I82/G82),"-",I82/G82)</f>
        <v>-</v>
      </c>
      <c r="K82" s="256"/>
      <c r="L82" s="450"/>
      <c r="M82" s="451"/>
      <c r="N82" s="451">
        <f>L82-M82</f>
        <v>0</v>
      </c>
      <c r="O82" s="294" t="str">
        <f>IF(ISERROR(N82/L82),"-",N82/L82)</f>
        <v>-</v>
      </c>
      <c r="P82" s="256"/>
      <c r="Q82" s="463"/>
      <c r="R82" s="464"/>
      <c r="S82" s="464">
        <f>Q82-R82</f>
        <v>0</v>
      </c>
      <c r="T82" s="295" t="str">
        <f>IF(ISERROR(S82/Q82),"-",S82/Q82)</f>
        <v>-</v>
      </c>
      <c r="U82" s="256"/>
      <c r="V82" s="1206">
        <f>B82+G82+L82+Q82</f>
        <v>0</v>
      </c>
      <c r="W82" s="1208">
        <f>C82+H82+M82+R82</f>
        <v>0</v>
      </c>
      <c r="X82" s="1208">
        <f>V82-W82</f>
        <v>0</v>
      </c>
      <c r="Y82" s="238"/>
      <c r="Z82" s="256"/>
      <c r="AA82" s="450">
        <f>G82+L82+Q82+V82</f>
        <v>0</v>
      </c>
      <c r="AB82" s="451">
        <f>AA82-W82</f>
        <v>0</v>
      </c>
      <c r="AC82" s="294" t="str">
        <f>IF(ISERROR(AB82/AA82),"-",AB82/AA82)</f>
        <v>-</v>
      </c>
      <c r="AD82" s="256"/>
      <c r="AE82" s="549"/>
    </row>
    <row r="83" spans="1:31" ht="21" customHeight="1" thickBot="1" x14ac:dyDescent="0.35">
      <c r="A83" s="296" t="s">
        <v>105</v>
      </c>
      <c r="B83" s="1227">
        <f>B81-B82</f>
        <v>-0.42542750000000007</v>
      </c>
      <c r="C83" s="1227">
        <f>C81-C82</f>
        <v>-2.8780485100000002</v>
      </c>
      <c r="D83" s="1228">
        <f>C83-B83</f>
        <v>-2.4526210100000001</v>
      </c>
      <c r="E83" s="299">
        <f>IF(ISERROR(D83/B83),"-",D83/B83)</f>
        <v>5.7650739785274805</v>
      </c>
      <c r="F83" s="300"/>
      <c r="G83" s="1227">
        <f>G81-G82</f>
        <v>-0.76000599999999974</v>
      </c>
      <c r="H83" s="1227">
        <f>H81-H82</f>
        <v>-3.1618873999999995</v>
      </c>
      <c r="I83" s="1228">
        <f>H83-G83</f>
        <v>-2.4018813999999997</v>
      </c>
      <c r="J83" s="299">
        <f>IF(ISERROR(I83/G83),"-",I83/G83)</f>
        <v>3.1603453130633188</v>
      </c>
      <c r="K83" s="300"/>
      <c r="L83" s="492">
        <f>L81-L82</f>
        <v>0</v>
      </c>
      <c r="M83" s="492">
        <f>M81-M82</f>
        <v>0</v>
      </c>
      <c r="N83" s="493">
        <f>M83-L83</f>
        <v>0</v>
      </c>
      <c r="O83" s="299" t="str">
        <f>IF(ISERROR(N83/L83),"-",N83/L83)</f>
        <v>-</v>
      </c>
      <c r="P83" s="300"/>
      <c r="Q83" s="492">
        <f>Q81-Q82</f>
        <v>0</v>
      </c>
      <c r="R83" s="492">
        <f>R81-R82</f>
        <v>0</v>
      </c>
      <c r="S83" s="493">
        <f>R83-Q83</f>
        <v>0</v>
      </c>
      <c r="T83" s="299" t="str">
        <f>IF(ISERROR(S83/Q83),"-",S83/Q83)</f>
        <v>-</v>
      </c>
      <c r="U83" s="300"/>
      <c r="V83" s="1233">
        <f>V81-V82</f>
        <v>-1.5200119999999995</v>
      </c>
      <c r="W83" s="1233">
        <f>W81-W82</f>
        <v>-6.3253909700000008</v>
      </c>
      <c r="X83" s="1228">
        <f>W83-V83</f>
        <v>-4.8053789700000014</v>
      </c>
      <c r="Y83" s="238">
        <f t="shared" si="53"/>
        <v>3.1614085744059937</v>
      </c>
      <c r="Z83" s="300"/>
      <c r="AA83" s="494">
        <f>AA81-AA82</f>
        <v>-52024.339999999851</v>
      </c>
      <c r="AB83" s="494">
        <f>AB81-AB82</f>
        <v>-52018.014609027654</v>
      </c>
      <c r="AC83" s="303">
        <f>IF(ISERROR(AB83/AA83),"-",AB83/AA83)</f>
        <v>0.99987841477715633</v>
      </c>
      <c r="AE83" s="1059"/>
    </row>
  </sheetData>
  <sheetProtection algorithmName="SHA-512" hashValue="+4wzeS8dqfgOi4uJ93HhU8xXgUJFE/Trsglw68G/qvq+dGeMx+Vj+DJ1BZa4ZJjJIlXfg/KuCQ7cSIXllzKL6A==" saltValue="mTZKGg91FBC29mv4UsDTSg==" spinCount="100000" sheet="1" objects="1" scenarios="1"/>
  <mergeCells count="19">
    <mergeCell ref="AE9:AE11"/>
    <mergeCell ref="D10:E10"/>
    <mergeCell ref="I10:J10"/>
    <mergeCell ref="N10:O10"/>
    <mergeCell ref="S10:T10"/>
    <mergeCell ref="X10:Y10"/>
    <mergeCell ref="AB10:AC10"/>
    <mergeCell ref="B9:E9"/>
    <mergeCell ref="G9:J9"/>
    <mergeCell ref="L9:O9"/>
    <mergeCell ref="Q9:T9"/>
    <mergeCell ref="V9:Y9"/>
    <mergeCell ref="AA9:AC9"/>
    <mergeCell ref="A7:H7"/>
    <mergeCell ref="A1:H1"/>
    <mergeCell ref="A3:H3"/>
    <mergeCell ref="A4:H4"/>
    <mergeCell ref="A5:H5"/>
    <mergeCell ref="A6:H6"/>
  </mergeCells>
  <conditionalFormatting sqref="E56">
    <cfRule type="cellIs" dxfId="0" priority="1" stopIfTrue="1" operator="equal">
      <formula>""""""</formula>
    </cfRule>
  </conditionalFormatting>
  <pageMargins left="0.7" right="0.7" top="0.75" bottom="0.75" header="0.3" footer="0.3"/>
  <pageSetup scale="53" fitToHeight="0" orientation="landscape" verticalDpi="300" r:id="rId1"/>
  <rowBreaks count="1" manualBreakCount="1">
    <brk id="49" max="30" man="1"/>
  </rowBreaks>
  <colBreaks count="2" manualBreakCount="2">
    <brk id="11" max="87" man="1"/>
    <brk id="29"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249977111117893"/>
  </sheetPr>
  <dimension ref="A1:X39"/>
  <sheetViews>
    <sheetView zoomScale="85" zoomScaleNormal="85" workbookViewId="0">
      <pane xSplit="1" topLeftCell="B1" activePane="topRight" state="frozen"/>
      <selection activeCell="A19" sqref="A19"/>
      <selection pane="topRight" activeCell="H34" sqref="H34"/>
    </sheetView>
  </sheetViews>
  <sheetFormatPr defaultRowHeight="27.75" customHeight="1" x14ac:dyDescent="0.25"/>
  <cols>
    <col min="1" max="1" width="47.42578125" customWidth="1"/>
    <col min="2" max="2" width="17" style="30" customWidth="1"/>
    <col min="3" max="3" width="15" style="766" customWidth="1"/>
    <col min="4" max="6" width="14.42578125" style="766" customWidth="1"/>
    <col min="7" max="7" width="14.42578125" style="30" customWidth="1"/>
    <col min="8" max="9" width="14.42578125" style="766" customWidth="1"/>
    <col min="10" max="10" width="14.42578125" style="30" customWidth="1"/>
    <col min="11" max="11" width="14.42578125" style="766" customWidth="1"/>
    <col min="12" max="12" width="14.42578125" style="785" customWidth="1"/>
    <col min="13" max="14" width="14.42578125" style="766" customWidth="1"/>
    <col min="15" max="15" width="14.42578125" customWidth="1"/>
    <col min="20" max="20" width="29.7109375" customWidth="1"/>
  </cols>
  <sheetData>
    <row r="1" spans="1:24" ht="21" customHeight="1" x14ac:dyDescent="0.25">
      <c r="A1" s="1461" t="s">
        <v>49</v>
      </c>
      <c r="B1" s="1462"/>
      <c r="C1" s="1463"/>
      <c r="D1" s="765"/>
      <c r="J1" s="29"/>
    </row>
    <row r="2" spans="1:24" ht="18" customHeight="1" x14ac:dyDescent="0.25">
      <c r="A2" s="1"/>
      <c r="B2" s="31"/>
      <c r="C2" s="767"/>
      <c r="D2" s="767"/>
      <c r="J2" s="29"/>
    </row>
    <row r="3" spans="1:24" ht="18" customHeight="1" x14ac:dyDescent="0.3">
      <c r="A3" s="1458" t="s">
        <v>134</v>
      </c>
      <c r="B3" s="1459"/>
      <c r="C3" s="1459"/>
      <c r="D3" s="768"/>
      <c r="E3" s="769"/>
      <c r="F3" s="769"/>
      <c r="G3" s="32"/>
      <c r="H3" s="769"/>
      <c r="I3" s="769"/>
      <c r="J3" s="33"/>
      <c r="K3" s="769"/>
      <c r="M3" s="769"/>
      <c r="N3" s="769"/>
      <c r="O3" s="3"/>
      <c r="P3" s="3"/>
      <c r="Q3" s="3"/>
      <c r="R3" s="3"/>
      <c r="S3" s="3"/>
      <c r="T3" s="3"/>
      <c r="U3" s="3"/>
      <c r="V3" s="3"/>
      <c r="W3" s="3"/>
      <c r="X3" s="3"/>
    </row>
    <row r="4" spans="1:24" ht="18" customHeight="1" x14ac:dyDescent="0.3">
      <c r="A4" s="1464" t="s">
        <v>0</v>
      </c>
      <c r="B4" s="1465"/>
      <c r="C4" s="1465"/>
      <c r="D4" s="770"/>
      <c r="J4" s="29"/>
    </row>
    <row r="5" spans="1:24" ht="18" customHeight="1" x14ac:dyDescent="0.3">
      <c r="A5" s="1464" t="s">
        <v>1</v>
      </c>
      <c r="B5" s="1465"/>
      <c r="C5" s="1466"/>
      <c r="D5" s="770"/>
      <c r="J5" s="29"/>
    </row>
    <row r="6" spans="1:24" ht="18" customHeight="1" x14ac:dyDescent="0.3">
      <c r="A6" s="1458" t="s">
        <v>237</v>
      </c>
      <c r="B6" s="1459"/>
      <c r="C6" s="1467"/>
      <c r="D6" s="768"/>
      <c r="E6" s="1460"/>
      <c r="F6" s="1460"/>
      <c r="G6" s="1460"/>
      <c r="H6" s="1460"/>
      <c r="I6" s="1460"/>
      <c r="J6" s="1460"/>
      <c r="K6" s="1460"/>
      <c r="L6" s="1460"/>
      <c r="M6" s="1460"/>
      <c r="N6" s="1460"/>
      <c r="O6" s="1460"/>
      <c r="P6" s="1460"/>
      <c r="Q6" s="1460"/>
      <c r="R6" s="1460"/>
      <c r="S6" s="1460"/>
      <c r="T6" s="1460"/>
      <c r="U6" s="1460"/>
      <c r="V6" s="1460"/>
      <c r="W6" s="1460"/>
      <c r="X6" s="1460"/>
    </row>
    <row r="7" spans="1:24" ht="18" customHeight="1" thickBot="1" x14ac:dyDescent="0.35">
      <c r="A7" s="1458" t="s">
        <v>2</v>
      </c>
      <c r="B7" s="1459"/>
      <c r="C7" s="1459"/>
      <c r="D7" s="768"/>
      <c r="J7" s="29"/>
    </row>
    <row r="8" spans="1:24" ht="27.75" customHeight="1" thickBot="1" x14ac:dyDescent="0.3">
      <c r="A8" s="3"/>
      <c r="B8" s="618" t="s">
        <v>137</v>
      </c>
      <c r="C8" s="771" t="s">
        <v>144</v>
      </c>
      <c r="D8" s="771" t="s">
        <v>139</v>
      </c>
      <c r="E8" s="772" t="s">
        <v>138</v>
      </c>
      <c r="F8" s="772" t="s">
        <v>162</v>
      </c>
      <c r="G8" s="607" t="s">
        <v>136</v>
      </c>
      <c r="H8" s="772" t="s">
        <v>141</v>
      </c>
      <c r="I8" s="772" t="s">
        <v>135</v>
      </c>
      <c r="J8" s="607" t="s">
        <v>161</v>
      </c>
      <c r="K8" s="786" t="s">
        <v>50</v>
      </c>
      <c r="L8" s="786" t="s">
        <v>140</v>
      </c>
      <c r="M8" s="786" t="s">
        <v>143</v>
      </c>
      <c r="N8" s="787" t="s">
        <v>142</v>
      </c>
    </row>
    <row r="9" spans="1:24" ht="17.25" customHeight="1" x14ac:dyDescent="0.25">
      <c r="A9" s="4"/>
      <c r="B9" s="606"/>
      <c r="C9" s="773" t="s">
        <v>145</v>
      </c>
      <c r="D9" s="774" t="s">
        <v>145</v>
      </c>
      <c r="E9" s="774" t="s">
        <v>145</v>
      </c>
      <c r="F9" s="774" t="s">
        <v>145</v>
      </c>
      <c r="G9" s="619" t="s">
        <v>145</v>
      </c>
      <c r="H9" s="774" t="s">
        <v>145</v>
      </c>
      <c r="I9" s="774" t="s">
        <v>145</v>
      </c>
      <c r="J9" s="619" t="s">
        <v>145</v>
      </c>
      <c r="K9" s="774" t="s">
        <v>145</v>
      </c>
      <c r="L9" s="774" t="s">
        <v>145</v>
      </c>
      <c r="M9" s="774" t="s">
        <v>145</v>
      </c>
      <c r="N9" s="788" t="s">
        <v>145</v>
      </c>
    </row>
    <row r="10" spans="1:24" ht="17.25" customHeight="1" x14ac:dyDescent="0.25">
      <c r="A10" s="6"/>
      <c r="B10" s="605"/>
      <c r="C10" s="495">
        <v>45291</v>
      </c>
      <c r="D10" s="495">
        <v>45291</v>
      </c>
      <c r="E10" s="495">
        <v>45291</v>
      </c>
      <c r="F10" s="495">
        <v>45291</v>
      </c>
      <c r="G10" s="495">
        <v>45291</v>
      </c>
      <c r="H10" s="495">
        <v>45291</v>
      </c>
      <c r="I10" s="495">
        <v>45291</v>
      </c>
      <c r="J10" s="495">
        <v>45291</v>
      </c>
      <c r="K10" s="495">
        <v>45291</v>
      </c>
      <c r="L10" s="495">
        <v>45291</v>
      </c>
      <c r="M10" s="495">
        <v>45291</v>
      </c>
      <c r="N10" s="495">
        <v>45291</v>
      </c>
    </row>
    <row r="11" spans="1:24" ht="17.25" customHeight="1" thickBot="1" x14ac:dyDescent="0.3">
      <c r="A11" s="6"/>
      <c r="B11" s="605"/>
      <c r="C11" s="775" t="s">
        <v>107</v>
      </c>
      <c r="D11" s="776" t="s">
        <v>107</v>
      </c>
      <c r="E11" s="776" t="s">
        <v>107</v>
      </c>
      <c r="F11" s="776" t="s">
        <v>107</v>
      </c>
      <c r="G11" s="800" t="s">
        <v>107</v>
      </c>
      <c r="H11" s="776" t="s">
        <v>107</v>
      </c>
      <c r="I11" s="776" t="s">
        <v>107</v>
      </c>
      <c r="J11" s="800" t="s">
        <v>107</v>
      </c>
      <c r="K11" s="776" t="s">
        <v>107</v>
      </c>
      <c r="L11" s="776" t="s">
        <v>107</v>
      </c>
      <c r="M11" s="776" t="s">
        <v>107</v>
      </c>
      <c r="N11" s="789" t="s">
        <v>107</v>
      </c>
    </row>
    <row r="12" spans="1:24" ht="27.75" customHeight="1" x14ac:dyDescent="0.3">
      <c r="A12" s="612" t="s">
        <v>146</v>
      </c>
      <c r="B12" s="609"/>
      <c r="C12" s="777"/>
      <c r="D12" s="777"/>
      <c r="E12" s="777"/>
      <c r="F12" s="777"/>
      <c r="G12" s="609"/>
      <c r="H12" s="777"/>
      <c r="I12" s="777"/>
      <c r="J12" s="609"/>
      <c r="K12" s="777"/>
      <c r="L12" s="777"/>
      <c r="M12" s="777"/>
      <c r="N12" s="790"/>
    </row>
    <row r="13" spans="1:24" ht="27.75" customHeight="1" x14ac:dyDescent="0.3">
      <c r="A13" s="611" t="s">
        <v>147</v>
      </c>
      <c r="B13" s="608">
        <f>M13+K13+J13+H13+I13+G13+F13+E13+D13+C13+N13</f>
        <v>43861726.239186004</v>
      </c>
      <c r="C13" s="778">
        <f>'ADB Fin. Postition '!F57+'ADB Fin. Postition '!F63</f>
        <v>1060241</v>
      </c>
      <c r="D13" s="778">
        <f>'ATB Fin. Position'!F57+'ATB Fin. Position'!F63</f>
        <v>222262.67999999996</v>
      </c>
      <c r="E13" s="778">
        <f>'AASPA Fin. Position'!F57+'AASPA Fin. Position'!F63</f>
        <v>7166730.0099999998</v>
      </c>
      <c r="F13" s="778">
        <f>'ACC Fin. Position'!F57+'ACC Fin. Position'!F63</f>
        <v>6431374.29</v>
      </c>
      <c r="G13" s="778">
        <f>'ANT Fin. Position'!F57+'ANT Fin. Position'!F63</f>
        <v>0</v>
      </c>
      <c r="H13" s="778">
        <f>'PSPF Fin. Position'!F57+'PSPF Fin. Position'!F63</f>
        <v>657954.97</v>
      </c>
      <c r="I13" s="778">
        <f>'AFSC Fin. Position'!F57+'AFSC Fin. Position'!F63</f>
        <v>14947130.529186003</v>
      </c>
      <c r="J13" s="778">
        <f>'PUC Fin. Position'!G57+'PUC Fin. Position'!G63</f>
        <v>0</v>
      </c>
      <c r="K13" s="778">
        <f>'ASSB Fin. Position'!F57+'ASSB Fin. Position'!F63</f>
        <v>13376032.76</v>
      </c>
      <c r="L13" s="778">
        <f>'HAA Fin. Position'!F57+'HAA Fin. Position'!F63</f>
        <v>1721611.74</v>
      </c>
      <c r="M13" s="778">
        <f>'WCA Fin. Position'!F57+'WCA Fin. Position'!F63</f>
        <v>0</v>
      </c>
      <c r="N13" s="791"/>
    </row>
    <row r="14" spans="1:24" ht="27.75" customHeight="1" thickBot="1" x14ac:dyDescent="0.35">
      <c r="A14" s="816" t="s">
        <v>148</v>
      </c>
      <c r="B14" s="620">
        <f>M14+K14+J14+H14+I14+G14+F14+E14+D14+C14+N14</f>
        <v>516347080.90743285</v>
      </c>
      <c r="C14" s="779">
        <f>'ADB Fin. Postition '!F43</f>
        <v>20551039</v>
      </c>
      <c r="D14" s="779">
        <f>'ATB Fin. Position'!F43</f>
        <v>5221944.1800000006</v>
      </c>
      <c r="E14" s="779">
        <f>'AASPA Fin. Position'!F43</f>
        <v>27259085.879999999</v>
      </c>
      <c r="F14" s="779">
        <f>'ACC Fin. Position'!F43</f>
        <v>10775766.67</v>
      </c>
      <c r="G14" s="779">
        <f>'ANT Fin. Position'!F43</f>
        <v>6099888.21</v>
      </c>
      <c r="H14" s="779">
        <f>'PSPF Fin. Position'!F43</f>
        <v>33493106.960000001</v>
      </c>
      <c r="I14" s="779">
        <f>'AFSC Fin. Position'!F43</f>
        <v>20470112.429966003</v>
      </c>
      <c r="J14" s="779">
        <f>'PUC Fin. Position'!F43</f>
        <v>0.79746684999999995</v>
      </c>
      <c r="K14" s="779">
        <f>'ASSB Fin. Position'!F43</f>
        <v>392476136.77999997</v>
      </c>
      <c r="L14" s="779">
        <f>'HAA Fin. Position'!F43</f>
        <v>719199.22</v>
      </c>
      <c r="M14" s="779">
        <f>'WCA Fin. Position'!F43</f>
        <v>0</v>
      </c>
      <c r="N14" s="792"/>
    </row>
    <row r="15" spans="1:24" ht="27.75" customHeight="1" thickBot="1" x14ac:dyDescent="0.35">
      <c r="A15" s="615" t="s">
        <v>146</v>
      </c>
      <c r="B15" s="613">
        <f>B13/B14</f>
        <v>8.4946207427188364E-2</v>
      </c>
      <c r="C15" s="613">
        <f t="shared" ref="C15:L15" si="0">C13/C14</f>
        <v>5.1590627607684458E-2</v>
      </c>
      <c r="D15" s="613">
        <f t="shared" si="0"/>
        <v>4.2563204878992011E-2</v>
      </c>
      <c r="E15" s="613">
        <f t="shared" si="0"/>
        <v>0.26291160464989149</v>
      </c>
      <c r="F15" s="613">
        <f t="shared" si="0"/>
        <v>0.59683681792267318</v>
      </c>
      <c r="G15" s="613">
        <f t="shared" si="0"/>
        <v>0</v>
      </c>
      <c r="H15" s="613">
        <f t="shared" si="0"/>
        <v>1.9644488962632805E-2</v>
      </c>
      <c r="I15" s="613">
        <f t="shared" si="0"/>
        <v>0.73019288879454525</v>
      </c>
      <c r="J15" s="613">
        <f t="shared" si="0"/>
        <v>0</v>
      </c>
      <c r="K15" s="613">
        <f t="shared" si="0"/>
        <v>3.4081136422054244E-2</v>
      </c>
      <c r="L15" s="613">
        <f t="shared" si="0"/>
        <v>2.393789776357099</v>
      </c>
      <c r="M15" s="613">
        <v>0</v>
      </c>
      <c r="N15" s="614"/>
    </row>
    <row r="16" spans="1:24" ht="27.75" customHeight="1" x14ac:dyDescent="0.3">
      <c r="A16" s="612" t="s">
        <v>151</v>
      </c>
      <c r="B16" s="610"/>
      <c r="C16" s="780"/>
      <c r="D16" s="780"/>
      <c r="E16" s="780"/>
      <c r="F16" s="780"/>
      <c r="G16" s="610"/>
      <c r="H16" s="780"/>
      <c r="I16" s="780"/>
      <c r="J16" s="610"/>
      <c r="K16" s="780"/>
      <c r="L16" s="777"/>
      <c r="M16" s="780"/>
      <c r="N16" s="793"/>
    </row>
    <row r="17" spans="1:20" ht="27.75" customHeight="1" x14ac:dyDescent="0.3">
      <c r="A17" s="611" t="s">
        <v>149</v>
      </c>
      <c r="B17" s="323">
        <f>C17+D17+E17+F17+G17+H17+I17+J17+K17+N17+M17</f>
        <v>478480909.96400046</v>
      </c>
      <c r="C17" s="373">
        <f>'ADB Fin. Postition '!F20+'ADB Fin. Postition '!F30</f>
        <v>19861975</v>
      </c>
      <c r="D17" s="373">
        <f>'ATB Fin. Position'!F20+'ATB Fin. Position'!F30</f>
        <v>4316870.3900000006</v>
      </c>
      <c r="E17" s="373">
        <f>'AASPA Fin. Position'!F20+'AASPA Fin. Position'!F30</f>
        <v>15933935.24</v>
      </c>
      <c r="F17" s="373">
        <f>'ACC Fin. Position'!F20+'ACC Fin. Position'!F30</f>
        <v>3153788.06</v>
      </c>
      <c r="G17" s="373">
        <f>'ANT Fin. Position'!F20+'ANT Fin. Position'!F30</f>
        <v>746972.33</v>
      </c>
      <c r="H17" s="373">
        <f>'PSPF Fin. Position'!F20+'PSPF Fin. Position'!F30</f>
        <v>33467770.73</v>
      </c>
      <c r="I17" s="373">
        <f>'AFSC Fin. Position'!F20+'AFSC Fin. Position'!F30</f>
        <v>19206256.248364002</v>
      </c>
      <c r="J17" s="373">
        <f>'PUC Fin. Position'!F20+'PUC Fin. Position'!F30</f>
        <v>0.73563650999999997</v>
      </c>
      <c r="K17" s="373">
        <f>'ASSB Fin. Position'!F20+'ASSB Fin. Position'!F30</f>
        <v>381793341.22999996</v>
      </c>
      <c r="L17" s="778">
        <f>'HAA Fin. Position'!F20+'HAA Fin. Position'!F30</f>
        <v>719199.22</v>
      </c>
      <c r="M17" s="373">
        <f>'WCA Fin. Position'!F20+'WCA Fin. Position'!F30</f>
        <v>0</v>
      </c>
      <c r="N17" s="372"/>
    </row>
    <row r="18" spans="1:20" ht="27.75" customHeight="1" thickBot="1" x14ac:dyDescent="0.35">
      <c r="A18" s="817" t="s">
        <v>147</v>
      </c>
      <c r="B18" s="801">
        <f>C18+D18+E18+F18+G18+H18+I18+J18+K18+N18+M18</f>
        <v>43861726.379097998</v>
      </c>
      <c r="C18" s="779">
        <f>'ADB Fin. Postition '!F57+'ADB Fin. Postition '!F63</f>
        <v>1060241</v>
      </c>
      <c r="D18" s="779">
        <f>'ATB Fin. Position'!F57+'ATB Fin. Position'!F63</f>
        <v>222262.67999999996</v>
      </c>
      <c r="E18" s="779">
        <f>'AASPA Fin. Position'!F57+'AASPA Fin. Position'!F63</f>
        <v>7166730.0099999998</v>
      </c>
      <c r="F18" s="779">
        <f>'ACC Fin. Position'!F57+'ACC Fin. Position'!F63</f>
        <v>6431374.29</v>
      </c>
      <c r="G18" s="779">
        <f>'ANT Fin. Position'!F57+'ANT Fin. Position'!F63</f>
        <v>0</v>
      </c>
      <c r="H18" s="779">
        <f>'PSPF Fin. Position'!F57+'PSPF Fin. Position'!F63</f>
        <v>657954.97</v>
      </c>
      <c r="I18" s="779">
        <f>'AFSC Fin. Position'!F57+'AFSC Fin. Position'!F63</f>
        <v>14947130.529186003</v>
      </c>
      <c r="J18" s="779">
        <f>'PUC Fin. Position'!F57+'PUC Fin. Position'!F63</f>
        <v>0.13991199000000001</v>
      </c>
      <c r="K18" s="779">
        <f>'ASSB Fin. Position'!F57+'ASSB Fin. Position'!F63</f>
        <v>13376032.76</v>
      </c>
      <c r="L18" s="779">
        <f>'HAA Fin. Position'!F57+'HAA Fin. Position'!F63</f>
        <v>1721611.74</v>
      </c>
      <c r="M18" s="779">
        <f>'WCA Fin. Position'!F57+'WCA Fin. Position'!F63</f>
        <v>0</v>
      </c>
      <c r="N18" s="792"/>
    </row>
    <row r="19" spans="1:20" ht="27.75" customHeight="1" thickBot="1" x14ac:dyDescent="0.35">
      <c r="A19" s="615" t="s">
        <v>151</v>
      </c>
      <c r="B19" s="783">
        <f>B17/B18</f>
        <v>10.908848088387538</v>
      </c>
      <c r="C19" s="783">
        <f t="shared" ref="C19:L19" si="1">C17/C18</f>
        <v>18.733453054541375</v>
      </c>
      <c r="D19" s="783">
        <f t="shared" si="1"/>
        <v>19.422380716366785</v>
      </c>
      <c r="E19" s="783">
        <f>E17/E18</f>
        <v>2.2233201498824147</v>
      </c>
      <c r="F19" s="783">
        <f>F17/F18</f>
        <v>0.49037544975476771</v>
      </c>
      <c r="G19" s="783"/>
      <c r="H19" s="783">
        <f t="shared" si="1"/>
        <v>50.866354471036217</v>
      </c>
      <c r="I19" s="783">
        <f t="shared" si="1"/>
        <v>1.2849460443836738</v>
      </c>
      <c r="J19" s="783">
        <f t="shared" si="1"/>
        <v>5.2578518109848904</v>
      </c>
      <c r="K19" s="783">
        <f t="shared" si="1"/>
        <v>28.543092565661446</v>
      </c>
      <c r="L19" s="1123">
        <f t="shared" si="1"/>
        <v>0.41774762758065298</v>
      </c>
      <c r="M19" s="783">
        <v>0</v>
      </c>
      <c r="N19" s="784"/>
    </row>
    <row r="20" spans="1:20" ht="27.75" customHeight="1" x14ac:dyDescent="0.3">
      <c r="A20" s="612" t="s">
        <v>150</v>
      </c>
      <c r="B20" s="610"/>
      <c r="C20" s="780"/>
      <c r="D20" s="780"/>
      <c r="E20" s="780"/>
      <c r="F20" s="780"/>
      <c r="G20" s="610"/>
      <c r="H20" s="780"/>
      <c r="I20" s="780"/>
      <c r="J20" s="610"/>
      <c r="K20" s="780"/>
      <c r="L20" s="777"/>
      <c r="M20" s="780"/>
      <c r="N20" s="793"/>
    </row>
    <row r="21" spans="1:20" ht="27.75" customHeight="1" x14ac:dyDescent="0.3">
      <c r="A21" s="611" t="s">
        <v>5</v>
      </c>
      <c r="B21" s="323">
        <f>C21+D21+E21+F21+I21+G21+H21+J21+K21+M21+N21</f>
        <v>72369707.483650491</v>
      </c>
      <c r="C21" s="373">
        <f>'ADB Fin. Postition '!F20</f>
        <v>6772399</v>
      </c>
      <c r="D21" s="373">
        <f>'ATB Fin. Position'!F20</f>
        <v>4316870.3900000006</v>
      </c>
      <c r="E21" s="373">
        <f>'AASPA Fin. Position'!F20</f>
        <v>7431817.8100000005</v>
      </c>
      <c r="F21" s="373">
        <f>'ACC Fin. Position'!F20</f>
        <v>2802309.66</v>
      </c>
      <c r="G21" s="373">
        <f>'ANT Fin. Position'!F20</f>
        <v>565962.43999999994</v>
      </c>
      <c r="H21" s="373">
        <f>'PSPF Fin. Position'!F20</f>
        <v>5863441.6600000001</v>
      </c>
      <c r="I21" s="373">
        <f>'AFSC Fin. Position'!F20</f>
        <v>19206256.248364002</v>
      </c>
      <c r="J21" s="373">
        <f>'PUC Fin. Position'!F20</f>
        <v>0.49528650000000002</v>
      </c>
      <c r="K21" s="373">
        <f>'ASSB Fin. Position'!F20</f>
        <v>25410649.779999997</v>
      </c>
      <c r="L21" s="778">
        <f>'HAA Fin. Position'!F20</f>
        <v>719199.22</v>
      </c>
      <c r="M21" s="373">
        <f>'WCA Fin. Position'!F20</f>
        <v>0</v>
      </c>
      <c r="N21" s="372"/>
    </row>
    <row r="22" spans="1:20" ht="27.75" customHeight="1" thickBot="1" x14ac:dyDescent="0.35">
      <c r="A22" s="817" t="s">
        <v>31</v>
      </c>
      <c r="B22" s="801">
        <f>C22+D22+E22+F22+I22+G22+H22+J22+K22+M22+N22</f>
        <v>25142528.224181585</v>
      </c>
      <c r="C22" s="802">
        <f>'ADB Fin. Postition '!F57</f>
        <v>133865</v>
      </c>
      <c r="D22" s="802">
        <f>'ATB Fin. Position'!F57</f>
        <v>222262.67999999996</v>
      </c>
      <c r="E22" s="802">
        <f>'AASPA Fin. Position'!F57</f>
        <v>5362525.45</v>
      </c>
      <c r="F22" s="802">
        <f>'ACC Fin. Position'!F57</f>
        <v>1029920.1</v>
      </c>
      <c r="G22" s="802">
        <f>'ANT Fin. Position'!F57</f>
        <v>0</v>
      </c>
      <c r="H22" s="802">
        <f>'PSPF Fin. Position'!F57</f>
        <v>650630.64</v>
      </c>
      <c r="I22" s="802">
        <f>'AFSC Fin. Position'!F57</f>
        <v>14485848.500720004</v>
      </c>
      <c r="J22" s="802">
        <f>'PUC Fin. Position'!F57</f>
        <v>9.3461580000000002E-2</v>
      </c>
      <c r="K22" s="802">
        <f>'ASSB Fin. Position'!F57</f>
        <v>3257475.76</v>
      </c>
      <c r="L22" s="779">
        <f>'HAA Fin. Position'!F57</f>
        <v>1721611.74</v>
      </c>
      <c r="M22" s="802">
        <f>'WCA Fin. Position'!F57</f>
        <v>0</v>
      </c>
      <c r="N22" s="803"/>
    </row>
    <row r="23" spans="1:20" ht="27.75" customHeight="1" thickBot="1" x14ac:dyDescent="0.35">
      <c r="A23" s="615" t="s">
        <v>150</v>
      </c>
      <c r="B23" s="783">
        <f>B21/B22</f>
        <v>2.878378293478328</v>
      </c>
      <c r="C23" s="783">
        <f t="shared" ref="C23:L23" si="2">C21/C22</f>
        <v>50.59125985134277</v>
      </c>
      <c r="D23" s="783">
        <f t="shared" si="2"/>
        <v>19.422380716366785</v>
      </c>
      <c r="E23" s="783">
        <f t="shared" si="2"/>
        <v>1.3858801938180079</v>
      </c>
      <c r="F23" s="783">
        <f t="shared" si="2"/>
        <v>2.720900058169561</v>
      </c>
      <c r="G23" s="783">
        <v>0</v>
      </c>
      <c r="H23" s="783">
        <f t="shared" si="2"/>
        <v>9.0119359580114455</v>
      </c>
      <c r="I23" s="783">
        <f t="shared" si="2"/>
        <v>1.3258633933255186</v>
      </c>
      <c r="J23" s="783">
        <f t="shared" si="2"/>
        <v>5.2993593731242292</v>
      </c>
      <c r="K23" s="783">
        <f t="shared" si="2"/>
        <v>7.8007179952123415</v>
      </c>
      <c r="L23" s="1123">
        <f t="shared" si="2"/>
        <v>0.41774762758065298</v>
      </c>
      <c r="M23" s="783">
        <v>0</v>
      </c>
      <c r="N23" s="784"/>
    </row>
    <row r="24" spans="1:20" ht="27.75" customHeight="1" x14ac:dyDescent="0.3">
      <c r="A24" s="818" t="s">
        <v>154</v>
      </c>
      <c r="B24" s="804"/>
      <c r="C24" s="805"/>
      <c r="D24" s="805"/>
      <c r="E24" s="805"/>
      <c r="F24" s="805"/>
      <c r="G24" s="804"/>
      <c r="H24" s="805"/>
      <c r="I24" s="805"/>
      <c r="J24" s="804"/>
      <c r="K24" s="805"/>
      <c r="L24" s="805"/>
      <c r="M24" s="805"/>
      <c r="N24" s="806"/>
    </row>
    <row r="25" spans="1:20" ht="27.75" customHeight="1" x14ac:dyDescent="0.3">
      <c r="A25" s="611" t="s">
        <v>5</v>
      </c>
      <c r="B25" s="323">
        <f>C25+D25+E25+F25+G25+I25+H25+J25+K25+M25+N25</f>
        <v>72369707.483650506</v>
      </c>
      <c r="C25" s="373">
        <f>'ADB Fin. Postition '!F20</f>
        <v>6772399</v>
      </c>
      <c r="D25" s="373">
        <f>'ATB Fin. Position'!F20</f>
        <v>4316870.3900000006</v>
      </c>
      <c r="E25" s="373">
        <f>'AASPA Fin. Position'!F20</f>
        <v>7431817.8100000005</v>
      </c>
      <c r="F25" s="373">
        <f>'ACC Fin. Position'!F20</f>
        <v>2802309.66</v>
      </c>
      <c r="G25" s="373">
        <f>'ANT Fin. Position'!F20</f>
        <v>565962.43999999994</v>
      </c>
      <c r="H25" s="373">
        <f>'PSPF Fin. Position'!F20</f>
        <v>5863441.6600000001</v>
      </c>
      <c r="I25" s="373">
        <f>'AFSC Fin. Position'!F20</f>
        <v>19206256.248364002</v>
      </c>
      <c r="J25" s="373">
        <f>'PUC Fin. Position'!F20</f>
        <v>0.49528650000000002</v>
      </c>
      <c r="K25" s="373">
        <f>'ASSB Fin. Position'!F20</f>
        <v>25410649.779999997</v>
      </c>
      <c r="L25" s="778">
        <f>'HAA Fin. Position'!F20</f>
        <v>719199.22</v>
      </c>
      <c r="M25" s="373">
        <f>'WCA Fin. Position'!F20</f>
        <v>0</v>
      </c>
      <c r="N25" s="372"/>
    </row>
    <row r="26" spans="1:20" ht="27.75" customHeight="1" x14ac:dyDescent="0.3">
      <c r="A26" s="611" t="s">
        <v>152</v>
      </c>
      <c r="B26" s="323">
        <f t="shared" ref="B26:B27" si="3">C26+D26+E26+F26+G26+I26+H26+J26+K26+M26+N26</f>
        <v>110948.47</v>
      </c>
      <c r="C26" s="373">
        <f>'ADB Fin. Postition '!F19</f>
        <v>0</v>
      </c>
      <c r="D26" s="373">
        <f>'ATB Fin. Position'!F19</f>
        <v>0</v>
      </c>
      <c r="E26" s="373">
        <f>'AASPA Fin. Position'!F19</f>
        <v>13322.07</v>
      </c>
      <c r="F26" s="373">
        <f>'ACC Fin. Position'!F19</f>
        <v>0</v>
      </c>
      <c r="G26" s="373">
        <f>'ANT Fin. Position'!F19</f>
        <v>0</v>
      </c>
      <c r="H26" s="373">
        <f>'PSPF Fin. Position'!F19</f>
        <v>0</v>
      </c>
      <c r="I26" s="373">
        <f>'AFSC Fin. Position'!F19</f>
        <v>0</v>
      </c>
      <c r="J26" s="373">
        <f>'PUC Fin. Position'!F19</f>
        <v>0</v>
      </c>
      <c r="K26" s="373">
        <f>'ASSB Fin. Position'!F19</f>
        <v>97626.4</v>
      </c>
      <c r="L26" s="778">
        <f>'HAA Fin. Position'!F19</f>
        <v>0</v>
      </c>
      <c r="M26" s="373">
        <f>'WCA Fin. Position'!F19</f>
        <v>0</v>
      </c>
      <c r="N26" s="372"/>
    </row>
    <row r="27" spans="1:20" ht="27.75" customHeight="1" thickBot="1" x14ac:dyDescent="0.35">
      <c r="A27" s="817" t="s">
        <v>31</v>
      </c>
      <c r="B27" s="801">
        <f t="shared" si="3"/>
        <v>25142528.224181585</v>
      </c>
      <c r="C27" s="802">
        <f>'ADB Fin. Postition '!F57</f>
        <v>133865</v>
      </c>
      <c r="D27" s="802">
        <f>'ATB Fin. Position'!F57</f>
        <v>222262.67999999996</v>
      </c>
      <c r="E27" s="802">
        <f>'AASPA Fin. Position'!F57</f>
        <v>5362525.45</v>
      </c>
      <c r="F27" s="802">
        <f>'ACC Fin. Position'!F57</f>
        <v>1029920.1</v>
      </c>
      <c r="G27" s="802">
        <f>'ANT Fin. Position'!F57</f>
        <v>0</v>
      </c>
      <c r="H27" s="802">
        <f>'PSPF Fin. Position'!F57</f>
        <v>650630.64</v>
      </c>
      <c r="I27" s="802">
        <f>'AFSC Fin. Position'!F57</f>
        <v>14485848.500720004</v>
      </c>
      <c r="J27" s="802">
        <f>'PUC Fin. Position'!F57</f>
        <v>9.3461580000000002E-2</v>
      </c>
      <c r="K27" s="802">
        <f>'ASSB Fin. Position'!F57</f>
        <v>3257475.76</v>
      </c>
      <c r="L27" s="779">
        <f>'HAA Fin. Position'!F57</f>
        <v>1721611.74</v>
      </c>
      <c r="M27" s="802">
        <f>'WCA Fin. Position'!F57</f>
        <v>0</v>
      </c>
      <c r="N27" s="803"/>
    </row>
    <row r="28" spans="1:20" ht="27.75" customHeight="1" thickBot="1" x14ac:dyDescent="0.35">
      <c r="A28" s="615" t="s">
        <v>153</v>
      </c>
      <c r="B28" s="783">
        <f>(B25-B26)/B27</f>
        <v>2.8739655125117238</v>
      </c>
      <c r="C28" s="783">
        <f>(C25-C26)/C27</f>
        <v>50.59125985134277</v>
      </c>
      <c r="D28" s="783">
        <f t="shared" ref="D28:L28" si="4">(D25-D26)/D27</f>
        <v>19.422380716366785</v>
      </c>
      <c r="E28" s="783">
        <f t="shared" si="4"/>
        <v>1.3833959035103507</v>
      </c>
      <c r="F28" s="783">
        <f t="shared" si="4"/>
        <v>2.720900058169561</v>
      </c>
      <c r="G28" s="783">
        <v>0</v>
      </c>
      <c r="H28" s="783">
        <f t="shared" si="4"/>
        <v>9.0119359580114455</v>
      </c>
      <c r="I28" s="783">
        <f t="shared" si="4"/>
        <v>1.3258633933255186</v>
      </c>
      <c r="J28" s="783">
        <f t="shared" si="4"/>
        <v>5.2993593731242292</v>
      </c>
      <c r="K28" s="783">
        <f t="shared" si="4"/>
        <v>7.7707480408081384</v>
      </c>
      <c r="L28" s="1123">
        <f t="shared" si="4"/>
        <v>0.41774762758065298</v>
      </c>
      <c r="M28" s="783">
        <v>0</v>
      </c>
      <c r="N28" s="784"/>
    </row>
    <row r="29" spans="1:20" ht="27.75" customHeight="1" x14ac:dyDescent="0.3">
      <c r="A29" s="818" t="s">
        <v>155</v>
      </c>
      <c r="B29" s="804"/>
      <c r="C29" s="805"/>
      <c r="D29" s="805"/>
      <c r="E29" s="805"/>
      <c r="F29" s="805"/>
      <c r="G29" s="804"/>
      <c r="H29" s="805"/>
      <c r="I29" s="805"/>
      <c r="J29" s="804"/>
      <c r="K29" s="805"/>
      <c r="L29" s="805"/>
      <c r="M29" s="805"/>
      <c r="N29" s="806"/>
    </row>
    <row r="30" spans="1:20" ht="27.75" customHeight="1" x14ac:dyDescent="0.3">
      <c r="A30" s="611" t="s">
        <v>158</v>
      </c>
      <c r="B30" s="323">
        <f>C30+D30+E30+F30+G30+I30+H30+J30++K30+M30+N30</f>
        <v>39525811.589999989</v>
      </c>
      <c r="C30" s="1383" t="str">
        <f>IF('ADB Inc. Statement'!W79&gt;0,'ADB Inc. Statement'!W79,"0.00")</f>
        <v>0.00</v>
      </c>
      <c r="D30" s="1383" t="str">
        <f>IF('ATB Inc. Statement'!W79&gt;0,'ATB Inc. Statement'!W79,"0.00")</f>
        <v>0.00</v>
      </c>
      <c r="E30" s="414">
        <f>IF('AASPA Inc. Statement'!W78&gt;0,'AASPA Inc. Statement'!W78,"0.00")</f>
        <v>19233997.620000001</v>
      </c>
      <c r="F30" s="414">
        <f>IF('ACC Inc Statement'!W79&gt;0,'ACC Inc Statement'!W78,"0.00")</f>
        <v>3693014.75</v>
      </c>
      <c r="G30" s="1381" t="str">
        <f>IF('ANT Inc Statement'!W79&gt;0,'ANT Inc Statement'!W79,"0.00")</f>
        <v>0.00</v>
      </c>
      <c r="H30" s="1381" t="str">
        <f>IF('PSPF Inc. Statement'!W79&gt;0,'PSPF Inc. Statement'!W79,"0.00")</f>
        <v>0.00</v>
      </c>
      <c r="I30" s="1381" t="str">
        <f>IF('AFSC Inc. Statement'!W79&gt;0,'AFSC Inc. Statement'!W79,"0.00")</f>
        <v>0.00</v>
      </c>
      <c r="J30" s="1381" t="str">
        <f>IF('PUC Inc. Statement'!$W$79&gt;0,'PUC Inc. Statement'!$W$79,"0.00")</f>
        <v>0.00</v>
      </c>
      <c r="K30" s="1381">
        <f>IF('ASSB Inc. Statement'!W79&gt;0,'ASSB Inc. Statement'!W79,"0.00")</f>
        <v>16598799.219999984</v>
      </c>
      <c r="L30" s="1381">
        <f>IF('HAA Inc. Statement'!W79&gt;0,'HAA Inc. Statement'!W79,"0.00")</f>
        <v>7655472.6399999857</v>
      </c>
      <c r="M30" s="1381" t="str">
        <f>IF('WCA Inc. Statement'!W79&gt;0,'WCA Inc. Statement'!W79,"0.00")</f>
        <v>0.00</v>
      </c>
      <c r="N30" s="795"/>
    </row>
    <row r="31" spans="1:20" ht="27.75" customHeight="1" thickBot="1" x14ac:dyDescent="0.35">
      <c r="A31" s="816" t="s">
        <v>159</v>
      </c>
      <c r="B31" s="801">
        <f>N31+M31+K31+J31+H31+I31+G31+F31+E31+D31+C31</f>
        <v>-5550331.6205437975</v>
      </c>
      <c r="C31" s="1382">
        <f>IF('ADB Inc. Statement'!W79&lt;0,'ADB Inc. Statement'!W79,"0")</f>
        <v>-550319.54</v>
      </c>
      <c r="D31" s="1382">
        <f>IF('ATB Inc. Statement'!W79&lt;0,'ATB Inc. Statement'!W79,"0")</f>
        <v>-315692.50999999791</v>
      </c>
      <c r="E31" s="1381" t="str">
        <f>IF('AASPA Inc. Statement'!W79&lt;0,'AASPA Inc. Statement'!W79,"0.00")</f>
        <v>0.00</v>
      </c>
      <c r="F31" s="1381" t="str">
        <f>IF('ACC Inc Statement'!W79&lt;0,'ACC Inc Statement'!W79,"0.00")</f>
        <v>0.00</v>
      </c>
      <c r="G31" s="414">
        <f>IF('ANT Inc Statement'!W79&lt;0,'ANT Inc Statement'!W79,"0.00")</f>
        <v>-1508699.27</v>
      </c>
      <c r="H31" s="414">
        <f>IF('PSPF Inc. Statement'!W79&lt;0,'PSPF Inc. Statement'!W79,"0.00")</f>
        <v>-2140286.4399999995</v>
      </c>
      <c r="I31" s="414">
        <f>IF('AFSC Inc. Statement'!W79&lt;0,'AFSC Inc. Statement'!W79,"0.00")</f>
        <v>-1035327.5146059999</v>
      </c>
      <c r="J31" s="414">
        <f>IF('PUC Inc. Statement'!$W$79&lt;0,'PUC Inc. Statement'!$W$79,"0.00")</f>
        <v>-2.0546830000000238E-2</v>
      </c>
      <c r="K31" s="1381" t="str">
        <f>IF('ASSB Inc. Statement'!W79&lt;0,'ASSB Inc. Statement'!W79,"0.00")</f>
        <v>0.00</v>
      </c>
      <c r="L31" s="1381" t="str">
        <f>IF('HAA Inc. Statement'!W79&lt;0,'HAA Inc. Statement'!W79,"0.00")</f>
        <v>0.00</v>
      </c>
      <c r="M31" s="1381">
        <f>IF('WCA Inc. Statement'!W79&lt;0,'WCA Inc. Statement'!W79,"0.00")</f>
        <v>-6.3253909700000008</v>
      </c>
      <c r="N31" s="807"/>
      <c r="T31" s="1287"/>
    </row>
    <row r="32" spans="1:20" s="766" customFormat="1" ht="27.75" customHeight="1" thickBot="1" x14ac:dyDescent="0.35">
      <c r="A32" s="798" t="s">
        <v>155</v>
      </c>
      <c r="B32" s="781">
        <f>C32+D32+F32+E32+G32+I32+H32+J32+K32+M32+N32</f>
        <v>33975479.969456188</v>
      </c>
      <c r="C32" s="781">
        <f>SUM(C30:C31)</f>
        <v>-550319.54</v>
      </c>
      <c r="D32" s="781">
        <f t="shared" ref="D32:N32" si="5">SUM(D30:D31)</f>
        <v>-315692.50999999791</v>
      </c>
      <c r="E32" s="781">
        <f t="shared" si="5"/>
        <v>19233997.620000001</v>
      </c>
      <c r="F32" s="781">
        <f t="shared" si="5"/>
        <v>3693014.75</v>
      </c>
      <c r="G32" s="781">
        <f>SUM(G30:G31)</f>
        <v>-1508699.27</v>
      </c>
      <c r="H32" s="781">
        <f t="shared" si="5"/>
        <v>-2140286.4399999995</v>
      </c>
      <c r="I32" s="781">
        <f t="shared" si="5"/>
        <v>-1035327.5146059999</v>
      </c>
      <c r="J32" s="781">
        <f>SUM(J30:J31)</f>
        <v>-2.0546830000000238E-2</v>
      </c>
      <c r="K32" s="781">
        <f t="shared" si="5"/>
        <v>16598799.219999984</v>
      </c>
      <c r="L32" s="1124">
        <f t="shared" si="5"/>
        <v>7655472.6399999857</v>
      </c>
      <c r="M32" s="781">
        <f t="shared" si="5"/>
        <v>-6.3253909700000008</v>
      </c>
      <c r="N32" s="794">
        <f t="shared" si="5"/>
        <v>0</v>
      </c>
    </row>
    <row r="33" spans="1:14" ht="27.75" customHeight="1" x14ac:dyDescent="0.3">
      <c r="A33" s="818" t="s">
        <v>156</v>
      </c>
      <c r="B33" s="804"/>
      <c r="C33" s="805"/>
      <c r="D33" s="805"/>
      <c r="E33" s="805"/>
      <c r="F33" s="805"/>
      <c r="G33" s="804"/>
      <c r="H33" s="805"/>
      <c r="I33" s="805"/>
      <c r="J33" s="804"/>
      <c r="K33" s="805"/>
      <c r="L33" s="805"/>
      <c r="M33" s="805"/>
      <c r="N33" s="806"/>
    </row>
    <row r="34" spans="1:14" ht="27.75" customHeight="1" x14ac:dyDescent="0.3">
      <c r="A34" s="611" t="s">
        <v>157</v>
      </c>
      <c r="B34" s="323">
        <f>C34+D34+E34+G34+F34+H34+I34+J34+K34+M34++N34</f>
        <v>43861726.379097998</v>
      </c>
      <c r="C34" s="373">
        <f>'Consolidated Fin Position Q4'!C63+'Consolidated Fin Position Q4'!C57</f>
        <v>1060241</v>
      </c>
      <c r="D34" s="373">
        <f>'Consolidated Fin Position Q4'!D63+'Consolidated Fin Position Q4'!D57</f>
        <v>222262.67999999996</v>
      </c>
      <c r="E34" s="373">
        <f>'Consolidated Fin Position Q4'!E63+'Consolidated Fin Position Q4'!E57</f>
        <v>7166730.0099999998</v>
      </c>
      <c r="F34" s="373">
        <f>'Consolidated Fin Position Q4'!F63+'Consolidated Fin Position Q4'!F57</f>
        <v>6431374.29</v>
      </c>
      <c r="G34" s="373">
        <f>'Consolidated Fin Position Q4'!G63+'Consolidated Fin Position Q4'!G57</f>
        <v>0</v>
      </c>
      <c r="H34" s="373">
        <f>'Consolidated Fin Position Q4'!H63+'Consolidated Fin Position Q4'!H57</f>
        <v>657954.97</v>
      </c>
      <c r="I34" s="373">
        <f>'Consolidated Fin Position Q4'!I63+'Consolidated Fin Position Q4'!I57</f>
        <v>14947130.529186003</v>
      </c>
      <c r="J34" s="373">
        <f>'Consolidated Fin Position Q4'!J63+'Consolidated Fin Position Q4'!J57</f>
        <v>0.13991199000000001</v>
      </c>
      <c r="K34" s="373">
        <f>'Consolidated Fin Position Q4'!K63+'Consolidated Fin Position Q4'!K57</f>
        <v>13376032.76</v>
      </c>
      <c r="L34" s="778">
        <f>'Consolidated Fin Position Q4'!L63+'Consolidated Fin Position Q4'!L57</f>
        <v>1721611.74</v>
      </c>
      <c r="M34" s="373">
        <f>'Consolidated Fin Position Q4'!M63+'Consolidated Fin Position Q4'!M57</f>
        <v>0</v>
      </c>
      <c r="N34" s="372">
        <f>'Consolidated Fin Position Q4'!N63+'Consolidated Fin Position Q4'!N57</f>
        <v>0</v>
      </c>
    </row>
    <row r="35" spans="1:14" ht="27.75" customHeight="1" thickBot="1" x14ac:dyDescent="0.35">
      <c r="A35" s="816" t="s">
        <v>148</v>
      </c>
      <c r="B35" s="801">
        <f>C35+D35+E35+G35+F35+H35+I35+J35+K35+M35++N35</f>
        <v>516347080.90743279</v>
      </c>
      <c r="C35" s="802">
        <f>'Consolidated Fin Position Q4'!C43</f>
        <v>20551039</v>
      </c>
      <c r="D35" s="802">
        <f>'Consolidated Fin Position Q4'!D43</f>
        <v>5221944.1800000006</v>
      </c>
      <c r="E35" s="802">
        <f>'Consolidated Fin Position Q4'!E43</f>
        <v>27259085.879999999</v>
      </c>
      <c r="F35" s="802">
        <f>'Consolidated Fin Position Q4'!F43</f>
        <v>10775766.67</v>
      </c>
      <c r="G35" s="802">
        <f>'Consolidated Fin Position Q4'!G43</f>
        <v>6099888.21</v>
      </c>
      <c r="H35" s="802">
        <f>'Consolidated Fin Position Q4'!H43</f>
        <v>33493106.960000001</v>
      </c>
      <c r="I35" s="802">
        <f>'Consolidated Fin Position Q4'!I43</f>
        <v>20470112.429966003</v>
      </c>
      <c r="J35" s="802">
        <f>'Consolidated Fin Position Q4'!J43</f>
        <v>0.79746684999999995</v>
      </c>
      <c r="K35" s="802">
        <f>'Consolidated Fin Position Q4'!K43</f>
        <v>392476136.77999997</v>
      </c>
      <c r="L35" s="779">
        <f>'Consolidated Fin Position Q4'!L43</f>
        <v>719199.22</v>
      </c>
      <c r="M35" s="802">
        <f>'Consolidated Fin Position Q4'!M43</f>
        <v>0</v>
      </c>
      <c r="N35" s="803">
        <f>'Consolidated Fin Position Q4'!N43</f>
        <v>0</v>
      </c>
    </row>
    <row r="36" spans="1:14" ht="27.75" customHeight="1" thickBot="1" x14ac:dyDescent="0.35">
      <c r="A36" s="615" t="s">
        <v>156</v>
      </c>
      <c r="B36" s="783">
        <f>B34/B35</f>
        <v>8.4946207698153392E-2</v>
      </c>
      <c r="C36" s="783">
        <f t="shared" ref="C36:L36" si="6">C34/C35</f>
        <v>5.1590627607684458E-2</v>
      </c>
      <c r="D36" s="783">
        <f t="shared" si="6"/>
        <v>4.2563204878992011E-2</v>
      </c>
      <c r="E36" s="783">
        <f t="shared" si="6"/>
        <v>0.26291160464989149</v>
      </c>
      <c r="F36" s="783">
        <f t="shared" si="6"/>
        <v>0.59683681792267318</v>
      </c>
      <c r="G36" s="783">
        <f t="shared" si="6"/>
        <v>0</v>
      </c>
      <c r="H36" s="783">
        <f t="shared" si="6"/>
        <v>1.9644488962632805E-2</v>
      </c>
      <c r="I36" s="783">
        <f t="shared" si="6"/>
        <v>0.73019288879454525</v>
      </c>
      <c r="J36" s="783">
        <f t="shared" si="6"/>
        <v>0.17544552478889877</v>
      </c>
      <c r="K36" s="783">
        <f t="shared" si="6"/>
        <v>3.4081136422054244E-2</v>
      </c>
      <c r="L36" s="1123">
        <f t="shared" si="6"/>
        <v>2.393789776357099</v>
      </c>
      <c r="M36" s="783">
        <v>0</v>
      </c>
      <c r="N36" s="784"/>
    </row>
    <row r="37" spans="1:14" ht="27.75" customHeight="1" x14ac:dyDescent="0.3">
      <c r="A37" s="819" t="s">
        <v>160</v>
      </c>
      <c r="B37" s="808"/>
      <c r="C37" s="809"/>
      <c r="D37" s="809"/>
      <c r="E37" s="809"/>
      <c r="F37" s="809"/>
      <c r="G37" s="808"/>
      <c r="H37" s="809"/>
      <c r="I37" s="809"/>
      <c r="J37" s="808"/>
      <c r="K37" s="809"/>
      <c r="L37" s="810"/>
      <c r="M37" s="809"/>
      <c r="N37" s="811"/>
    </row>
    <row r="38" spans="1:14" ht="27.75" customHeight="1" thickBot="1" x14ac:dyDescent="0.35">
      <c r="A38" s="820"/>
      <c r="B38" s="812"/>
      <c r="C38" s="813"/>
      <c r="D38" s="813"/>
      <c r="E38" s="813"/>
      <c r="F38" s="813"/>
      <c r="G38" s="812"/>
      <c r="H38" s="813"/>
      <c r="I38" s="813"/>
      <c r="J38" s="812"/>
      <c r="K38" s="813"/>
      <c r="L38" s="814"/>
      <c r="M38" s="813"/>
      <c r="N38" s="815"/>
    </row>
    <row r="39" spans="1:14" ht="27.75" customHeight="1" thickBot="1" x14ac:dyDescent="0.35">
      <c r="A39" s="616" t="s">
        <v>160</v>
      </c>
      <c r="B39" s="617"/>
      <c r="C39" s="782"/>
      <c r="D39" s="782"/>
      <c r="E39" s="782"/>
      <c r="F39" s="782"/>
      <c r="G39" s="617"/>
      <c r="H39" s="782"/>
      <c r="I39" s="782"/>
      <c r="J39" s="617"/>
      <c r="K39" s="782"/>
      <c r="L39" s="796"/>
      <c r="M39" s="782"/>
      <c r="N39" s="797"/>
    </row>
  </sheetData>
  <sheetProtection algorithmName="SHA-512" hashValue="QXfRWPvh4FmKn07BzDDaz/9R+5rmrKmiPKIG3D1DC16iiOVHgKagpqd9r6gAzaG+LhaWFrXYyZdygQlBWmye/A==" saltValue="/2gJfTjn2aws6D9mykHDUQ==" spinCount="100000" sheet="1" objects="1" scenarios="1"/>
  <mergeCells count="7">
    <mergeCell ref="A7:C7"/>
    <mergeCell ref="E6:X6"/>
    <mergeCell ref="A1:C1"/>
    <mergeCell ref="A3:C3"/>
    <mergeCell ref="A4:C4"/>
    <mergeCell ref="A5:C5"/>
    <mergeCell ref="A6:C6"/>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F72"/>
  <sheetViews>
    <sheetView zoomScale="70" zoomScaleNormal="70" workbookViewId="0">
      <selection activeCell="I39" sqref="I39"/>
    </sheetView>
  </sheetViews>
  <sheetFormatPr defaultColWidth="8.85546875" defaultRowHeight="15.75" customHeight="1" x14ac:dyDescent="0.3"/>
  <cols>
    <col min="1" max="1" width="64.42578125" style="49" customWidth="1"/>
    <col min="2" max="2" width="16.42578125" style="414" customWidth="1"/>
    <col min="3" max="3" width="16.85546875" style="414" customWidth="1"/>
    <col min="4" max="4" width="18.140625" style="414" customWidth="1"/>
    <col min="5" max="5" width="17" style="414" customWidth="1"/>
    <col min="6" max="6" width="17.42578125" style="414" customWidth="1"/>
    <col min="7" max="231" width="8.85546875" style="49" customWidth="1"/>
    <col min="232" max="16384" width="8.85546875" style="49"/>
  </cols>
  <sheetData>
    <row r="1" spans="1:6" ht="18.75" customHeight="1" x14ac:dyDescent="0.3">
      <c r="A1" s="1418" t="s">
        <v>49</v>
      </c>
      <c r="B1" s="1419"/>
      <c r="C1" s="1419"/>
      <c r="D1" s="1419"/>
      <c r="E1" s="1419"/>
      <c r="F1" s="1419"/>
    </row>
    <row r="2" spans="1:6" ht="18.75" customHeight="1" x14ac:dyDescent="0.3">
      <c r="A2" s="50"/>
      <c r="B2" s="357"/>
      <c r="C2" s="357"/>
      <c r="D2" s="357"/>
      <c r="E2" s="357"/>
      <c r="F2" s="357"/>
    </row>
    <row r="3" spans="1:6" s="52" customFormat="1" ht="18.75" customHeight="1" x14ac:dyDescent="0.3">
      <c r="A3" s="1420" t="s">
        <v>163</v>
      </c>
      <c r="B3" s="1421"/>
      <c r="C3" s="1421"/>
      <c r="D3" s="1421"/>
      <c r="E3" s="1421"/>
      <c r="F3" s="1421"/>
    </row>
    <row r="4" spans="1:6" ht="18.75" customHeight="1" x14ac:dyDescent="0.3">
      <c r="A4" s="1422" t="s">
        <v>0</v>
      </c>
      <c r="B4" s="1423"/>
      <c r="C4" s="1423"/>
      <c r="D4" s="1423"/>
      <c r="E4" s="1423"/>
      <c r="F4" s="1423"/>
    </row>
    <row r="5" spans="1:6" ht="18.75" customHeight="1" x14ac:dyDescent="0.3">
      <c r="A5" s="1422" t="s">
        <v>1</v>
      </c>
      <c r="B5" s="1424"/>
      <c r="C5" s="1424"/>
      <c r="D5" s="1424"/>
      <c r="E5" s="1424"/>
      <c r="F5" s="1424"/>
    </row>
    <row r="6" spans="1:6" ht="18.75" customHeight="1" x14ac:dyDescent="0.3">
      <c r="A6" s="1420" t="s">
        <v>194</v>
      </c>
      <c r="B6" s="1425"/>
      <c r="C6" s="1425"/>
      <c r="D6" s="1425"/>
      <c r="E6" s="1425"/>
      <c r="F6" s="1425"/>
    </row>
    <row r="7" spans="1:6" ht="18.75" customHeight="1" x14ac:dyDescent="0.3">
      <c r="A7" s="1416" t="s">
        <v>2</v>
      </c>
      <c r="B7" s="1417"/>
      <c r="C7" s="1417"/>
      <c r="D7" s="1417"/>
      <c r="E7" s="1417"/>
      <c r="F7" s="1417"/>
    </row>
    <row r="8" spans="1:6" ht="16.5" customHeight="1" thickBot="1" x14ac:dyDescent="0.35">
      <c r="A8" s="309"/>
      <c r="B8" s="358"/>
      <c r="C8" s="359"/>
      <c r="D8" s="358"/>
      <c r="E8" s="359"/>
      <c r="F8" s="358"/>
    </row>
    <row r="9" spans="1:6" ht="17.45" customHeight="1" x14ac:dyDescent="0.3">
      <c r="A9" s="312"/>
      <c r="B9" s="360" t="s">
        <v>164</v>
      </c>
      <c r="C9" s="361" t="s">
        <v>165</v>
      </c>
      <c r="D9" s="360" t="s">
        <v>166</v>
      </c>
      <c r="E9" s="361" t="s">
        <v>167</v>
      </c>
      <c r="F9" s="360" t="s">
        <v>3</v>
      </c>
    </row>
    <row r="10" spans="1:6" ht="15" customHeight="1" x14ac:dyDescent="0.3">
      <c r="A10" s="314"/>
      <c r="B10" s="59">
        <v>44927</v>
      </c>
      <c r="C10" s="315">
        <v>45016</v>
      </c>
      <c r="D10" s="59">
        <v>45107</v>
      </c>
      <c r="E10" s="315">
        <v>45199</v>
      </c>
      <c r="F10" s="59">
        <v>45291</v>
      </c>
    </row>
    <row r="11" spans="1:6" ht="15" customHeight="1" thickBot="1" x14ac:dyDescent="0.35">
      <c r="A11" s="316"/>
      <c r="B11" s="362" t="s">
        <v>107</v>
      </c>
      <c r="C11" s="364" t="s">
        <v>107</v>
      </c>
      <c r="D11" s="362" t="s">
        <v>107</v>
      </c>
      <c r="E11" s="364" t="s">
        <v>107</v>
      </c>
      <c r="F11" s="362" t="s">
        <v>107</v>
      </c>
    </row>
    <row r="12" spans="1:6" ht="15" customHeight="1" x14ac:dyDescent="0.3">
      <c r="A12" s="319" t="s">
        <v>4</v>
      </c>
      <c r="B12" s="821"/>
      <c r="C12" s="821"/>
      <c r="D12" s="821"/>
      <c r="E12" s="821"/>
      <c r="F12" s="821"/>
    </row>
    <row r="13" spans="1:6" ht="15" customHeight="1" x14ac:dyDescent="0.3">
      <c r="A13" s="322" t="s">
        <v>5</v>
      </c>
      <c r="B13" s="661"/>
      <c r="C13" s="661"/>
      <c r="D13" s="661"/>
      <c r="E13" s="661"/>
      <c r="F13" s="661"/>
    </row>
    <row r="14" spans="1:6" ht="15" customHeight="1" x14ac:dyDescent="0.3">
      <c r="A14" s="324" t="s">
        <v>6</v>
      </c>
      <c r="B14" s="954">
        <v>4771093</v>
      </c>
      <c r="C14" s="1061">
        <v>4828048</v>
      </c>
      <c r="D14" s="954">
        <v>5210514</v>
      </c>
      <c r="E14" s="1061">
        <v>5239975</v>
      </c>
      <c r="F14" s="954">
        <v>5484965</v>
      </c>
    </row>
    <row r="15" spans="1:6" ht="15" customHeight="1" x14ac:dyDescent="0.3">
      <c r="A15" s="325" t="s">
        <v>7</v>
      </c>
      <c r="B15" s="954">
        <v>0</v>
      </c>
      <c r="C15" s="1061">
        <v>0</v>
      </c>
      <c r="D15" s="954">
        <v>0</v>
      </c>
      <c r="E15" s="1061">
        <v>0</v>
      </c>
      <c r="F15" s="954">
        <v>0</v>
      </c>
    </row>
    <row r="16" spans="1:6" ht="15" customHeight="1" x14ac:dyDescent="0.3">
      <c r="A16" s="325" t="s">
        <v>8</v>
      </c>
      <c r="B16" s="954">
        <v>0</v>
      </c>
      <c r="C16" s="1061">
        <v>0</v>
      </c>
      <c r="D16" s="954">
        <v>0</v>
      </c>
      <c r="E16" s="1061">
        <v>0</v>
      </c>
      <c r="F16" s="954">
        <v>0</v>
      </c>
    </row>
    <row r="17" spans="1:6" ht="15" customHeight="1" x14ac:dyDescent="0.3">
      <c r="A17" s="325" t="s">
        <v>9</v>
      </c>
      <c r="B17" s="954">
        <v>0</v>
      </c>
      <c r="C17" s="1061">
        <v>0</v>
      </c>
      <c r="D17" s="954">
        <v>0</v>
      </c>
      <c r="E17" s="1061">
        <v>0</v>
      </c>
      <c r="F17" s="954">
        <v>0</v>
      </c>
    </row>
    <row r="18" spans="1:6" ht="15" customHeight="1" x14ac:dyDescent="0.3">
      <c r="A18" s="325" t="s">
        <v>10</v>
      </c>
      <c r="B18" s="954">
        <v>682511</v>
      </c>
      <c r="C18" s="1061">
        <v>1254496</v>
      </c>
      <c r="D18" s="954">
        <v>1257675</v>
      </c>
      <c r="E18" s="1061">
        <v>1245350</v>
      </c>
      <c r="F18" s="954">
        <v>1287434</v>
      </c>
    </row>
    <row r="19" spans="1:6" ht="15" customHeight="1" x14ac:dyDescent="0.3">
      <c r="A19" s="326" t="s">
        <v>11</v>
      </c>
      <c r="B19" s="1062">
        <v>0</v>
      </c>
      <c r="C19" s="1063">
        <v>0</v>
      </c>
      <c r="D19" s="1062">
        <v>0</v>
      </c>
      <c r="E19" s="1063">
        <v>0</v>
      </c>
      <c r="F19" s="1062">
        <v>0</v>
      </c>
    </row>
    <row r="20" spans="1:6" ht="15" customHeight="1" x14ac:dyDescent="0.3">
      <c r="A20" s="327" t="s">
        <v>12</v>
      </c>
      <c r="B20" s="1065">
        <f>SUM(B14:B19)</f>
        <v>5453604</v>
      </c>
      <c r="C20" s="1065">
        <f>SUM(C14:C19)</f>
        <v>6082544</v>
      </c>
      <c r="D20" s="1065">
        <f>SUM(D14:D19)</f>
        <v>6468189</v>
      </c>
      <c r="E20" s="1065">
        <f>SUM(E14:E19)</f>
        <v>6485325</v>
      </c>
      <c r="F20" s="1065">
        <f>SUM(F14:F19)</f>
        <v>6772399</v>
      </c>
    </row>
    <row r="21" spans="1:6" ht="15" customHeight="1" x14ac:dyDescent="0.3">
      <c r="A21" s="328"/>
      <c r="B21" s="1067"/>
      <c r="C21" s="1067"/>
      <c r="D21" s="1067"/>
      <c r="E21" s="1067"/>
      <c r="F21" s="1067"/>
    </row>
    <row r="22" spans="1:6" ht="15" customHeight="1" x14ac:dyDescent="0.3">
      <c r="A22" s="329" t="s">
        <v>13</v>
      </c>
      <c r="B22" s="954"/>
      <c r="C22" s="954"/>
      <c r="D22" s="954"/>
      <c r="E22" s="954"/>
      <c r="F22" s="954"/>
    </row>
    <row r="23" spans="1:6" ht="15" customHeight="1" x14ac:dyDescent="0.3">
      <c r="A23" s="325" t="s">
        <v>14</v>
      </c>
      <c r="B23" s="954">
        <v>0</v>
      </c>
      <c r="C23" s="1061">
        <v>0</v>
      </c>
      <c r="D23" s="954">
        <v>0</v>
      </c>
      <c r="E23" s="1061">
        <v>0</v>
      </c>
      <c r="F23" s="954">
        <v>0</v>
      </c>
    </row>
    <row r="24" spans="1:6" ht="15" customHeight="1" x14ac:dyDescent="0.3">
      <c r="A24" s="325" t="s">
        <v>15</v>
      </c>
      <c r="B24" s="954">
        <v>0</v>
      </c>
      <c r="C24" s="1061">
        <v>0</v>
      </c>
      <c r="D24" s="954">
        <v>0</v>
      </c>
      <c r="E24" s="1061">
        <v>0</v>
      </c>
      <c r="F24" s="954">
        <v>0</v>
      </c>
    </row>
    <row r="25" spans="1:6" ht="15" customHeight="1" x14ac:dyDescent="0.3">
      <c r="A25" s="325" t="s">
        <v>16</v>
      </c>
      <c r="B25" s="954">
        <v>0</v>
      </c>
      <c r="C25" s="1061">
        <v>0</v>
      </c>
      <c r="D25" s="954">
        <v>0</v>
      </c>
      <c r="E25" s="1061">
        <v>0</v>
      </c>
      <c r="F25" s="954">
        <v>0</v>
      </c>
    </row>
    <row r="26" spans="1:6" ht="15" customHeight="1" x14ac:dyDescent="0.3">
      <c r="A26" s="325" t="s">
        <v>17</v>
      </c>
      <c r="B26" s="954">
        <v>0</v>
      </c>
      <c r="C26" s="1061">
        <v>0</v>
      </c>
      <c r="D26" s="954">
        <v>0</v>
      </c>
      <c r="E26" s="1061">
        <v>0</v>
      </c>
      <c r="F26" s="954">
        <v>0</v>
      </c>
    </row>
    <row r="27" spans="1:6" ht="15" customHeight="1" x14ac:dyDescent="0.3">
      <c r="A27" s="325" t="s">
        <v>119</v>
      </c>
      <c r="B27" s="954">
        <v>16020301</v>
      </c>
      <c r="C27" s="1061">
        <v>15181887</v>
      </c>
      <c r="D27" s="954">
        <v>14415886</v>
      </c>
      <c r="E27" s="1061">
        <v>13925521</v>
      </c>
      <c r="F27" s="954">
        <v>13089576</v>
      </c>
    </row>
    <row r="28" spans="1:6" ht="15" customHeight="1" x14ac:dyDescent="0.3">
      <c r="A28" s="325" t="s">
        <v>118</v>
      </c>
      <c r="B28" s="954">
        <v>0</v>
      </c>
      <c r="C28" s="1061">
        <v>0</v>
      </c>
      <c r="D28" s="954">
        <v>0</v>
      </c>
      <c r="E28" s="1061">
        <v>0</v>
      </c>
      <c r="F28" s="954">
        <v>0</v>
      </c>
    </row>
    <row r="29" spans="1:6" ht="15" customHeight="1" x14ac:dyDescent="0.3">
      <c r="A29" s="326" t="s">
        <v>18</v>
      </c>
      <c r="B29" s="1062">
        <v>0</v>
      </c>
      <c r="C29" s="1063">
        <v>0</v>
      </c>
      <c r="D29" s="1062">
        <v>0</v>
      </c>
      <c r="E29" s="1063">
        <v>0</v>
      </c>
      <c r="F29" s="954">
        <v>0</v>
      </c>
    </row>
    <row r="30" spans="1:6" ht="15" customHeight="1" x14ac:dyDescent="0.3">
      <c r="A30" s="327" t="s">
        <v>19</v>
      </c>
      <c r="B30" s="1065">
        <f>SUM(B23:B29)</f>
        <v>16020301</v>
      </c>
      <c r="C30" s="1065">
        <f>SUM(C23:C29)</f>
        <v>15181887</v>
      </c>
      <c r="D30" s="1065">
        <f>SUM(D23:D29)</f>
        <v>14415886</v>
      </c>
      <c r="E30" s="1065">
        <f>SUM(E23:E29)</f>
        <v>13925521</v>
      </c>
      <c r="F30" s="1065">
        <f>SUM(F23:F29)</f>
        <v>13089576</v>
      </c>
    </row>
    <row r="31" spans="1:6" ht="15" customHeight="1" x14ac:dyDescent="0.3">
      <c r="A31" s="328"/>
      <c r="B31" s="1067"/>
      <c r="C31" s="1067"/>
      <c r="D31" s="1067"/>
      <c r="E31" s="1067"/>
      <c r="F31" s="1067"/>
    </row>
    <row r="32" spans="1:6" ht="15" customHeight="1" x14ac:dyDescent="0.3">
      <c r="A32" s="329" t="s">
        <v>20</v>
      </c>
      <c r="B32" s="385"/>
      <c r="C32" s="385"/>
      <c r="D32" s="385"/>
      <c r="E32" s="385"/>
      <c r="F32" s="385"/>
    </row>
    <row r="33" spans="1:6" ht="15" customHeight="1" x14ac:dyDescent="0.3">
      <c r="A33" s="306" t="s">
        <v>21</v>
      </c>
      <c r="B33" s="385">
        <v>0</v>
      </c>
      <c r="C33" s="387">
        <v>0</v>
      </c>
      <c r="D33" s="385">
        <v>0</v>
      </c>
      <c r="E33" s="387">
        <v>0</v>
      </c>
      <c r="F33" s="385">
        <v>0</v>
      </c>
    </row>
    <row r="34" spans="1:6" ht="15" customHeight="1" x14ac:dyDescent="0.3">
      <c r="A34" s="306" t="s">
        <v>22</v>
      </c>
      <c r="B34" s="385">
        <v>211171</v>
      </c>
      <c r="C34" s="387">
        <v>195741</v>
      </c>
      <c r="D34" s="385">
        <v>609340</v>
      </c>
      <c r="E34" s="387">
        <v>601929</v>
      </c>
      <c r="F34" s="385">
        <v>595726</v>
      </c>
    </row>
    <row r="35" spans="1:6" ht="15" customHeight="1" x14ac:dyDescent="0.3">
      <c r="A35" s="306" t="s">
        <v>23</v>
      </c>
      <c r="B35" s="385">
        <v>0</v>
      </c>
      <c r="C35" s="387">
        <v>0</v>
      </c>
      <c r="D35" s="385">
        <v>0</v>
      </c>
      <c r="E35" s="387">
        <v>0</v>
      </c>
      <c r="F35" s="385">
        <v>0</v>
      </c>
    </row>
    <row r="36" spans="1:6" ht="15" customHeight="1" x14ac:dyDescent="0.3">
      <c r="A36" s="306" t="s">
        <v>24</v>
      </c>
      <c r="B36" s="385">
        <v>0</v>
      </c>
      <c r="C36" s="387">
        <v>0</v>
      </c>
      <c r="D36" s="385">
        <v>0</v>
      </c>
      <c r="E36" s="387">
        <v>0</v>
      </c>
      <c r="F36" s="385">
        <v>0</v>
      </c>
    </row>
    <row r="37" spans="1:6" ht="15" customHeight="1" x14ac:dyDescent="0.3">
      <c r="A37" s="306" t="s">
        <v>25</v>
      </c>
      <c r="B37" s="385">
        <v>0</v>
      </c>
      <c r="C37" s="387">
        <v>0</v>
      </c>
      <c r="D37" s="385">
        <v>0</v>
      </c>
      <c r="E37" s="387">
        <v>0</v>
      </c>
      <c r="F37" s="385">
        <v>0</v>
      </c>
    </row>
    <row r="38" spans="1:6" ht="15" customHeight="1" x14ac:dyDescent="0.3">
      <c r="A38" s="307" t="s">
        <v>26</v>
      </c>
      <c r="B38" s="388">
        <v>534600</v>
      </c>
      <c r="C38" s="395">
        <v>534600</v>
      </c>
      <c r="D38" s="388">
        <v>108772</v>
      </c>
      <c r="E38" s="395">
        <v>101055</v>
      </c>
      <c r="F38" s="385">
        <v>93338</v>
      </c>
    </row>
    <row r="39" spans="1:6" ht="15" customHeight="1" x14ac:dyDescent="0.3">
      <c r="A39" s="327" t="s">
        <v>27</v>
      </c>
      <c r="B39" s="1065">
        <f>SUM(B32:B38)</f>
        <v>745771</v>
      </c>
      <c r="C39" s="1065">
        <f>SUM(C32:C38)</f>
        <v>730341</v>
      </c>
      <c r="D39" s="1065">
        <f>SUM(D32:D38)</f>
        <v>718112</v>
      </c>
      <c r="E39" s="1065">
        <f>SUM(E32:E38)</f>
        <v>702984</v>
      </c>
      <c r="F39" s="1065">
        <f>SUM(F32:F38)</f>
        <v>689064</v>
      </c>
    </row>
    <row r="40" spans="1:6" ht="15" customHeight="1" x14ac:dyDescent="0.3">
      <c r="A40" s="330"/>
      <c r="B40" s="1069"/>
      <c r="C40" s="1069"/>
      <c r="D40" s="1069"/>
      <c r="E40" s="1069"/>
      <c r="F40" s="1069"/>
    </row>
    <row r="41" spans="1:6" ht="15" customHeight="1" x14ac:dyDescent="0.3">
      <c r="A41" s="322" t="s">
        <v>28</v>
      </c>
      <c r="B41" s="954">
        <v>0</v>
      </c>
      <c r="C41" s="954">
        <v>0</v>
      </c>
      <c r="D41" s="954">
        <v>0</v>
      </c>
      <c r="E41" s="954">
        <v>0</v>
      </c>
      <c r="F41" s="954">
        <v>0</v>
      </c>
    </row>
    <row r="42" spans="1:6" ht="15" customHeight="1" x14ac:dyDescent="0.3">
      <c r="A42" s="331"/>
      <c r="B42" s="388"/>
      <c r="C42" s="388"/>
      <c r="D42" s="388"/>
      <c r="E42" s="388"/>
      <c r="F42" s="388"/>
    </row>
    <row r="43" spans="1:6" ht="15" customHeight="1" x14ac:dyDescent="0.3">
      <c r="A43" s="327" t="s">
        <v>29</v>
      </c>
      <c r="B43" s="1065">
        <f>B20+B30+B39+B41</f>
        <v>22219676</v>
      </c>
      <c r="C43" s="1065">
        <f>C20+C30+C39+C41</f>
        <v>21994772</v>
      </c>
      <c r="D43" s="1065">
        <f>D20+D30+D39+D41</f>
        <v>21602187</v>
      </c>
      <c r="E43" s="1065">
        <f>E20+E30+E39+E41</f>
        <v>21113830</v>
      </c>
      <c r="F43" s="1065">
        <f>F20+F30+F39+F41</f>
        <v>20551039</v>
      </c>
    </row>
    <row r="44" spans="1:6" ht="15" customHeight="1" x14ac:dyDescent="0.3">
      <c r="A44" s="332"/>
      <c r="B44" s="398"/>
      <c r="C44" s="398"/>
      <c r="D44" s="398"/>
      <c r="E44" s="398"/>
      <c r="F44" s="398"/>
    </row>
    <row r="45" spans="1:6" ht="15" customHeight="1" x14ac:dyDescent="0.3">
      <c r="A45" s="322" t="s">
        <v>30</v>
      </c>
      <c r="B45" s="385"/>
      <c r="C45" s="385"/>
      <c r="D45" s="385"/>
      <c r="E45" s="385"/>
      <c r="F45" s="385"/>
    </row>
    <row r="46" spans="1:6" ht="15" customHeight="1" x14ac:dyDescent="0.3">
      <c r="A46" s="333"/>
      <c r="B46" s="385"/>
      <c r="C46" s="385"/>
      <c r="D46" s="385"/>
      <c r="E46" s="385"/>
      <c r="F46" s="385"/>
    </row>
    <row r="47" spans="1:6" ht="15" customHeight="1" x14ac:dyDescent="0.3">
      <c r="A47" s="322" t="s">
        <v>31</v>
      </c>
      <c r="B47" s="954"/>
      <c r="C47" s="954"/>
      <c r="D47" s="954"/>
      <c r="E47" s="954"/>
      <c r="F47" s="954"/>
    </row>
    <row r="48" spans="1:6" ht="15" customHeight="1" x14ac:dyDescent="0.3">
      <c r="A48" s="306" t="s">
        <v>32</v>
      </c>
      <c r="B48" s="385">
        <v>130138</v>
      </c>
      <c r="C48" s="385">
        <v>111112</v>
      </c>
      <c r="D48" s="385">
        <v>93582</v>
      </c>
      <c r="E48" s="385">
        <v>93582</v>
      </c>
      <c r="F48" s="385">
        <v>96880</v>
      </c>
    </row>
    <row r="49" spans="1:6" ht="15" customHeight="1" x14ac:dyDescent="0.3">
      <c r="A49" s="334" t="s">
        <v>50</v>
      </c>
      <c r="B49" s="385">
        <v>0</v>
      </c>
      <c r="C49" s="385">
        <v>0</v>
      </c>
      <c r="D49" s="385">
        <v>0</v>
      </c>
      <c r="E49" s="385">
        <v>0</v>
      </c>
      <c r="F49" s="385">
        <v>0</v>
      </c>
    </row>
    <row r="50" spans="1:6" ht="15" customHeight="1" x14ac:dyDescent="0.3">
      <c r="A50" s="334" t="s">
        <v>168</v>
      </c>
      <c r="B50" s="385">
        <v>0</v>
      </c>
      <c r="C50" s="385">
        <v>0</v>
      </c>
      <c r="D50" s="385">
        <v>0</v>
      </c>
      <c r="E50" s="385">
        <v>0</v>
      </c>
      <c r="F50" s="385">
        <v>0</v>
      </c>
    </row>
    <row r="51" spans="1:6" ht="15" customHeight="1" x14ac:dyDescent="0.3">
      <c r="A51" s="334" t="s">
        <v>109</v>
      </c>
      <c r="B51" s="385">
        <v>0</v>
      </c>
      <c r="C51" s="385">
        <v>0</v>
      </c>
      <c r="D51" s="385">
        <v>0</v>
      </c>
      <c r="E51" s="385">
        <v>0</v>
      </c>
      <c r="F51" s="385">
        <v>0</v>
      </c>
    </row>
    <row r="52" spans="1:6" ht="15" customHeight="1" x14ac:dyDescent="0.3">
      <c r="A52" s="334" t="s">
        <v>33</v>
      </c>
      <c r="B52" s="385">
        <v>0</v>
      </c>
      <c r="C52" s="385">
        <v>0</v>
      </c>
      <c r="D52" s="385">
        <v>0</v>
      </c>
      <c r="E52" s="385">
        <v>0</v>
      </c>
      <c r="F52" s="385">
        <v>0</v>
      </c>
    </row>
    <row r="53" spans="1:6" ht="15" customHeight="1" x14ac:dyDescent="0.3">
      <c r="A53" s="334" t="s">
        <v>34</v>
      </c>
      <c r="B53" s="385">
        <v>0</v>
      </c>
      <c r="C53" s="385">
        <v>0</v>
      </c>
      <c r="D53" s="385">
        <v>0</v>
      </c>
      <c r="E53" s="385">
        <v>0</v>
      </c>
      <c r="F53" s="385">
        <v>0</v>
      </c>
    </row>
    <row r="54" spans="1:6" ht="15" customHeight="1" x14ac:dyDescent="0.3">
      <c r="A54" s="306" t="s">
        <v>35</v>
      </c>
      <c r="B54" s="385">
        <v>14431</v>
      </c>
      <c r="C54" s="385">
        <v>15332</v>
      </c>
      <c r="D54" s="385">
        <v>40258</v>
      </c>
      <c r="E54" s="385">
        <v>34347</v>
      </c>
      <c r="F54" s="385">
        <v>36985</v>
      </c>
    </row>
    <row r="55" spans="1:6" ht="15" customHeight="1" x14ac:dyDescent="0.3">
      <c r="A55" s="306" t="s">
        <v>36</v>
      </c>
      <c r="B55" s="385">
        <v>0</v>
      </c>
      <c r="C55" s="385">
        <v>0</v>
      </c>
      <c r="D55" s="385">
        <v>0</v>
      </c>
      <c r="E55" s="385">
        <v>0</v>
      </c>
      <c r="F55" s="385">
        <v>0</v>
      </c>
    </row>
    <row r="56" spans="1:6" ht="15" customHeight="1" x14ac:dyDescent="0.3">
      <c r="A56" s="307" t="s">
        <v>37</v>
      </c>
      <c r="B56" s="388">
        <v>0</v>
      </c>
      <c r="C56" s="388">
        <v>0</v>
      </c>
      <c r="D56" s="388">
        <v>0</v>
      </c>
      <c r="E56" s="385">
        <v>0</v>
      </c>
      <c r="F56" s="388">
        <v>0</v>
      </c>
    </row>
    <row r="57" spans="1:6" ht="15" customHeight="1" x14ac:dyDescent="0.3">
      <c r="A57" s="327" t="s">
        <v>38</v>
      </c>
      <c r="B57" s="1065">
        <f>SUM(B48:B56)</f>
        <v>144569</v>
      </c>
      <c r="C57" s="1065">
        <f>SUM(C48:C56)</f>
        <v>126444</v>
      </c>
      <c r="D57" s="1065">
        <f>SUM(D48:D56)</f>
        <v>133840</v>
      </c>
      <c r="E57" s="1065">
        <f>SUM(E48:E56)</f>
        <v>127929</v>
      </c>
      <c r="F57" s="1065">
        <f>SUM(F48:F56)</f>
        <v>133865</v>
      </c>
    </row>
    <row r="58" spans="1:6" ht="15" customHeight="1" x14ac:dyDescent="0.3">
      <c r="A58" s="335"/>
      <c r="B58" s="1067"/>
      <c r="C58" s="1067"/>
      <c r="D58" s="1067"/>
      <c r="E58" s="1067"/>
      <c r="F58" s="1067"/>
    </row>
    <row r="59" spans="1:6" ht="15" customHeight="1" x14ac:dyDescent="0.3">
      <c r="A59" s="322" t="s">
        <v>39</v>
      </c>
      <c r="B59" s="385"/>
      <c r="C59" s="385"/>
      <c r="D59" s="385"/>
      <c r="E59" s="385"/>
      <c r="F59" s="385"/>
    </row>
    <row r="60" spans="1:6" ht="15" customHeight="1" x14ac:dyDescent="0.3">
      <c r="A60" s="306" t="s">
        <v>117</v>
      </c>
      <c r="B60" s="385">
        <v>1806982</v>
      </c>
      <c r="C60" s="387">
        <v>1493405</v>
      </c>
      <c r="D60" s="385">
        <v>1179827</v>
      </c>
      <c r="E60" s="385">
        <v>866250</v>
      </c>
      <c r="F60" s="385">
        <v>562376</v>
      </c>
    </row>
    <row r="61" spans="1:6" ht="15" customHeight="1" x14ac:dyDescent="0.3">
      <c r="A61" s="306" t="s">
        <v>40</v>
      </c>
      <c r="B61" s="385">
        <v>364000</v>
      </c>
      <c r="C61" s="387">
        <v>364000</v>
      </c>
      <c r="D61" s="385">
        <v>364000</v>
      </c>
      <c r="E61" s="385">
        <v>364000</v>
      </c>
      <c r="F61" s="385">
        <v>364000</v>
      </c>
    </row>
    <row r="62" spans="1:6" ht="15" customHeight="1" x14ac:dyDescent="0.3">
      <c r="A62" s="308"/>
      <c r="B62" s="388"/>
      <c r="C62" s="388"/>
      <c r="D62" s="388"/>
      <c r="E62" s="388"/>
      <c r="F62" s="388"/>
    </row>
    <row r="63" spans="1:6" ht="15" customHeight="1" x14ac:dyDescent="0.3">
      <c r="A63" s="327" t="s">
        <v>41</v>
      </c>
      <c r="B63" s="1065">
        <f>SUM(B60:B62)</f>
        <v>2170982</v>
      </c>
      <c r="C63" s="1065">
        <f>SUM(C60:C62)</f>
        <v>1857405</v>
      </c>
      <c r="D63" s="1065">
        <f>SUM(D60:D62)</f>
        <v>1543827</v>
      </c>
      <c r="E63" s="1065">
        <f>SUM(E60:E62)</f>
        <v>1230250</v>
      </c>
      <c r="F63" s="1065">
        <f>SUM(F60:F62)</f>
        <v>926376</v>
      </c>
    </row>
    <row r="64" spans="1:6" ht="15" customHeight="1" x14ac:dyDescent="0.3">
      <c r="A64" s="335"/>
      <c r="B64" s="1067"/>
      <c r="C64" s="1067"/>
      <c r="D64" s="1067"/>
      <c r="E64" s="1067"/>
      <c r="F64" s="1067"/>
    </row>
    <row r="65" spans="1:6" ht="15" customHeight="1" x14ac:dyDescent="0.3">
      <c r="A65" s="322" t="s">
        <v>42</v>
      </c>
      <c r="B65" s="385"/>
      <c r="C65" s="385"/>
      <c r="D65" s="385"/>
      <c r="E65" s="385"/>
      <c r="F65" s="385"/>
    </row>
    <row r="66" spans="1:6" ht="15" customHeight="1" x14ac:dyDescent="0.3">
      <c r="A66" s="306" t="s">
        <v>43</v>
      </c>
      <c r="B66" s="385">
        <v>10555698</v>
      </c>
      <c r="C66" s="385">
        <v>10555698</v>
      </c>
      <c r="D66" s="385">
        <v>10555698</v>
      </c>
      <c r="E66" s="385">
        <v>10555698</v>
      </c>
      <c r="F66" s="385">
        <v>10555698</v>
      </c>
    </row>
    <row r="67" spans="1:6" ht="15" customHeight="1" x14ac:dyDescent="0.3">
      <c r="A67" s="306" t="s">
        <v>44</v>
      </c>
      <c r="B67" s="385">
        <v>0</v>
      </c>
      <c r="C67" s="385">
        <v>0</v>
      </c>
      <c r="D67" s="385">
        <v>0</v>
      </c>
      <c r="E67" s="385">
        <v>0</v>
      </c>
      <c r="F67" s="385">
        <v>0</v>
      </c>
    </row>
    <row r="68" spans="1:6" ht="15" customHeight="1" x14ac:dyDescent="0.3">
      <c r="A68" s="306" t="s">
        <v>45</v>
      </c>
      <c r="B68" s="385">
        <v>0</v>
      </c>
      <c r="C68" s="1089">
        <v>0</v>
      </c>
      <c r="D68" s="1089">
        <v>0</v>
      </c>
      <c r="E68" s="1089">
        <v>0</v>
      </c>
      <c r="F68" s="1089">
        <v>0</v>
      </c>
    </row>
    <row r="69" spans="1:6" ht="15" customHeight="1" x14ac:dyDescent="0.3">
      <c r="A69" s="307" t="s">
        <v>46</v>
      </c>
      <c r="B69" s="1092">
        <v>9345427</v>
      </c>
      <c r="C69" s="388">
        <v>9455225</v>
      </c>
      <c r="D69" s="388">
        <v>9368822</v>
      </c>
      <c r="E69" s="388">
        <v>9199954</v>
      </c>
      <c r="F69" s="388">
        <v>8935100</v>
      </c>
    </row>
    <row r="70" spans="1:6" ht="15" customHeight="1" x14ac:dyDescent="0.3">
      <c r="A70" s="327" t="s">
        <v>47</v>
      </c>
      <c r="B70" s="1093">
        <f>SUM(B66:B69)</f>
        <v>19901125</v>
      </c>
      <c r="C70" s="1065">
        <f>SUM(C66+C67+C68+C69)</f>
        <v>20010923</v>
      </c>
      <c r="D70" s="1065">
        <f>SUM(D66:D69)</f>
        <v>19924520</v>
      </c>
      <c r="E70" s="1065">
        <f>SUM(E66:E69)</f>
        <v>19755652</v>
      </c>
      <c r="F70" s="1065">
        <f>SUM(F66:F69)</f>
        <v>19490798</v>
      </c>
    </row>
    <row r="71" spans="1:6" ht="15.75" customHeight="1" x14ac:dyDescent="0.3">
      <c r="A71" s="336"/>
      <c r="B71" s="407"/>
      <c r="C71" s="407"/>
      <c r="D71" s="407"/>
      <c r="E71" s="407"/>
      <c r="F71" s="407"/>
    </row>
    <row r="72" spans="1:6" ht="16.5" customHeight="1" thickBot="1" x14ac:dyDescent="0.35">
      <c r="A72" s="337" t="s">
        <v>48</v>
      </c>
      <c r="B72" s="1074">
        <f>B70+B63+B57</f>
        <v>22216676</v>
      </c>
      <c r="C72" s="1074">
        <f>C70+C63+C57</f>
        <v>21994772</v>
      </c>
      <c r="D72" s="1074">
        <f>D70+D63+D57</f>
        <v>21602187</v>
      </c>
      <c r="E72" s="1074">
        <f>E70+E63+E57</f>
        <v>21113831</v>
      </c>
      <c r="F72" s="1074">
        <f>F70+F63+F57</f>
        <v>20551039</v>
      </c>
    </row>
  </sheetData>
  <sheetProtection algorithmName="SHA-512" hashValue="nL1kglLUxJbh3g7ZqvRB7jVK5XKBLx9xBkQg/5tmfIclcXy8lEinKZZtGcUQBmOZvRg6oPCp8Ytn6tjUwSzICQ==" saltValue="pX5UagLNRimz6Jk4OrQEEQ==" spinCount="100000" sheet="1" objects="1" scenarios="1"/>
  <mergeCells count="6">
    <mergeCell ref="A7:F7"/>
    <mergeCell ref="A1:F1"/>
    <mergeCell ref="A3:F3"/>
    <mergeCell ref="A4:F4"/>
    <mergeCell ref="A5:F5"/>
    <mergeCell ref="A6:F6"/>
  </mergeCells>
  <pageMargins left="0.7" right="0.7" top="0.75" bottom="0.75" header="0.3" footer="0.3"/>
  <pageSetup scale="60"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pageSetUpPr fitToPage="1"/>
  </sheetPr>
  <dimension ref="A1:AG83"/>
  <sheetViews>
    <sheetView view="pageBreakPreview" topLeftCell="A4" zoomScale="65" zoomScaleNormal="80" zoomScaleSheetLayoutView="65" workbookViewId="0">
      <pane xSplit="1" ySplit="8" topLeftCell="B12" activePane="bottomRight" state="frozen"/>
      <selection activeCell="A4" sqref="A4"/>
      <selection pane="topRight" activeCell="B4" sqref="B4"/>
      <selection pane="bottomLeft" activeCell="A12" sqref="A12"/>
      <selection pane="bottomRight" activeCell="C20" sqref="C20"/>
    </sheetView>
  </sheetViews>
  <sheetFormatPr defaultRowHeight="18.75" x14ac:dyDescent="0.3"/>
  <cols>
    <col min="1" max="1" width="59.7109375" style="49" customWidth="1"/>
    <col min="2" max="3" width="14.140625" style="414" customWidth="1"/>
    <col min="4" max="4" width="13.140625" style="414" customWidth="1"/>
    <col min="5" max="5" width="10" style="304" customWidth="1"/>
    <col min="6" max="6" width="1" style="49" customWidth="1"/>
    <col min="7" max="7" width="14.5703125" style="414" customWidth="1"/>
    <col min="8" max="8" width="14.28515625" style="414" customWidth="1"/>
    <col min="9" max="9" width="12.140625" style="414" customWidth="1"/>
    <col min="10" max="10" width="12" style="352" customWidth="1"/>
    <col min="11" max="11" width="1.140625" style="49" customWidth="1"/>
    <col min="12" max="12" width="14" style="414" customWidth="1"/>
    <col min="13" max="13" width="14.140625" style="414" customWidth="1"/>
    <col min="14" max="14" width="12.85546875" style="414" customWidth="1"/>
    <col min="15" max="15" width="10.5703125" style="305" customWidth="1"/>
    <col min="16" max="16" width="1" style="49" customWidth="1"/>
    <col min="17" max="17" width="13.85546875" style="414" customWidth="1"/>
    <col min="18" max="18" width="13.140625" style="414" customWidth="1"/>
    <col min="19" max="19" width="12.85546875" style="414" customWidth="1"/>
    <col min="20" max="20" width="10.85546875" style="305" customWidth="1"/>
    <col min="21" max="21" width="1.28515625" style="49" customWidth="1"/>
    <col min="22" max="22" width="14.28515625" style="414" customWidth="1"/>
    <col min="23" max="23" width="14.140625" style="414" customWidth="1"/>
    <col min="24" max="24" width="13" style="414" customWidth="1"/>
    <col min="25" max="25" width="10.7109375" style="305" customWidth="1"/>
    <col min="26" max="26" width="1" style="49" customWidth="1"/>
    <col min="27" max="27" width="16.28515625" style="414" customWidth="1"/>
    <col min="28" max="28" width="13.7109375" style="414" customWidth="1"/>
    <col min="29" max="29" width="11.5703125" style="305" customWidth="1"/>
    <col min="30" max="30" width="1" style="49" customWidth="1"/>
    <col min="31" max="31" width="66.42578125" style="49" customWidth="1"/>
    <col min="32" max="16384" width="9.140625" style="49"/>
  </cols>
  <sheetData>
    <row r="1" spans="1:31" x14ac:dyDescent="0.3">
      <c r="A1" s="1431" t="s">
        <v>49</v>
      </c>
      <c r="B1" s="1432"/>
      <c r="C1" s="1432"/>
      <c r="D1" s="1432"/>
      <c r="E1" s="1432"/>
      <c r="F1" s="1432"/>
      <c r="G1" s="1432"/>
      <c r="H1" s="1432"/>
      <c r="I1" s="415"/>
      <c r="J1" s="338"/>
      <c r="K1" s="89"/>
      <c r="L1" s="416"/>
      <c r="M1" s="416"/>
      <c r="N1" s="416"/>
      <c r="O1" s="91"/>
      <c r="P1" s="120"/>
      <c r="Q1" s="415"/>
      <c r="R1" s="417"/>
      <c r="S1" s="429"/>
      <c r="T1" s="93"/>
      <c r="U1" s="120"/>
      <c r="V1" s="430"/>
      <c r="W1" s="430"/>
      <c r="X1" s="430"/>
      <c r="Y1" s="123"/>
      <c r="Z1" s="120"/>
      <c r="AA1" s="430"/>
      <c r="AB1" s="430"/>
      <c r="AC1" s="123"/>
      <c r="AD1" s="120"/>
      <c r="AE1" s="124"/>
    </row>
    <row r="2" spans="1:31" x14ac:dyDescent="0.3">
      <c r="A2" s="125"/>
      <c r="B2" s="418"/>
      <c r="C2" s="418"/>
      <c r="D2" s="418"/>
      <c r="E2" s="95"/>
      <c r="F2" s="96"/>
      <c r="G2" s="418"/>
      <c r="H2" s="418"/>
      <c r="I2" s="418"/>
      <c r="J2" s="339"/>
      <c r="K2" s="97"/>
      <c r="L2" s="357"/>
      <c r="M2" s="357"/>
      <c r="N2" s="357"/>
      <c r="O2" s="98"/>
      <c r="P2" s="97"/>
      <c r="Q2" s="418"/>
      <c r="R2" s="419"/>
      <c r="S2" s="431"/>
      <c r="T2" s="100"/>
      <c r="U2" s="97"/>
      <c r="V2" s="432"/>
      <c r="W2" s="432"/>
      <c r="X2" s="432"/>
      <c r="Y2" s="128"/>
      <c r="Z2" s="97"/>
      <c r="AA2" s="432"/>
      <c r="AB2" s="432"/>
      <c r="AC2" s="128"/>
      <c r="AD2" s="97"/>
      <c r="AE2" s="129"/>
    </row>
    <row r="3" spans="1:31" s="52" customFormat="1" x14ac:dyDescent="0.3">
      <c r="A3" s="1433" t="s">
        <v>163</v>
      </c>
      <c r="B3" s="1434"/>
      <c r="C3" s="1434"/>
      <c r="D3" s="1434"/>
      <c r="E3" s="1434"/>
      <c r="F3" s="1434"/>
      <c r="G3" s="1434"/>
      <c r="H3" s="1434"/>
      <c r="I3" s="420"/>
      <c r="J3" s="340"/>
      <c r="K3" s="103"/>
      <c r="L3" s="421"/>
      <c r="M3" s="421"/>
      <c r="N3" s="421"/>
      <c r="O3" s="105"/>
      <c r="P3" s="130"/>
      <c r="Q3" s="420"/>
      <c r="R3" s="422"/>
      <c r="S3" s="428"/>
      <c r="T3" s="107"/>
      <c r="U3" s="130"/>
      <c r="V3" s="433"/>
      <c r="W3" s="433"/>
      <c r="X3" s="433"/>
      <c r="Y3" s="132"/>
      <c r="Z3" s="130"/>
      <c r="AA3" s="433"/>
      <c r="AB3" s="433"/>
      <c r="AC3" s="132"/>
      <c r="AD3" s="130"/>
      <c r="AE3" s="133"/>
    </row>
    <row r="4" spans="1:31" x14ac:dyDescent="0.3">
      <c r="A4" s="1435" t="s">
        <v>51</v>
      </c>
      <c r="B4" s="1436"/>
      <c r="C4" s="1436"/>
      <c r="D4" s="1436"/>
      <c r="E4" s="1436"/>
      <c r="F4" s="1436"/>
      <c r="G4" s="1436"/>
      <c r="H4" s="1436"/>
      <c r="I4" s="418"/>
      <c r="J4" s="339"/>
      <c r="K4" s="108"/>
      <c r="L4" s="423"/>
      <c r="M4" s="423"/>
      <c r="N4" s="423"/>
      <c r="O4" s="110"/>
      <c r="P4" s="134"/>
      <c r="Q4" s="424"/>
      <c r="R4" s="425"/>
      <c r="S4" s="431"/>
      <c r="T4" s="113"/>
      <c r="U4" s="134"/>
      <c r="V4" s="432"/>
      <c r="W4" s="432"/>
      <c r="X4" s="432"/>
      <c r="Y4" s="128"/>
      <c r="Z4" s="134"/>
      <c r="AA4" s="432"/>
      <c r="AB4" s="432"/>
      <c r="AC4" s="128"/>
      <c r="AD4" s="134"/>
      <c r="AE4" s="129"/>
    </row>
    <row r="5" spans="1:31" x14ac:dyDescent="0.3">
      <c r="A5" s="1435" t="s">
        <v>52</v>
      </c>
      <c r="B5" s="1437"/>
      <c r="C5" s="1437"/>
      <c r="D5" s="1437"/>
      <c r="E5" s="1437"/>
      <c r="F5" s="1437"/>
      <c r="G5" s="1437"/>
      <c r="H5" s="1437"/>
      <c r="I5" s="418"/>
      <c r="J5" s="339"/>
      <c r="K5" s="108"/>
      <c r="L5" s="423"/>
      <c r="M5" s="423"/>
      <c r="N5" s="423"/>
      <c r="O5" s="110"/>
      <c r="P5" s="134"/>
      <c r="Q5" s="424"/>
      <c r="R5" s="425"/>
      <c r="S5" s="431"/>
      <c r="T5" s="113"/>
      <c r="U5" s="134"/>
      <c r="V5" s="432"/>
      <c r="W5" s="432"/>
      <c r="X5" s="432"/>
      <c r="Y5" s="128"/>
      <c r="Z5" s="134"/>
      <c r="AA5" s="432"/>
      <c r="AB5" s="432"/>
      <c r="AC5" s="128"/>
      <c r="AD5" s="134"/>
      <c r="AE5" s="129"/>
    </row>
    <row r="6" spans="1:31" s="52" customFormat="1" x14ac:dyDescent="0.3">
      <c r="A6" s="1433" t="s">
        <v>194</v>
      </c>
      <c r="B6" s="1468"/>
      <c r="C6" s="1468"/>
      <c r="D6" s="1468"/>
      <c r="E6" s="1468"/>
      <c r="F6" s="1468"/>
      <c r="G6" s="1468"/>
      <c r="H6" s="1468"/>
      <c r="I6" s="420"/>
      <c r="J6" s="340"/>
      <c r="K6" s="114"/>
      <c r="L6" s="426"/>
      <c r="M6" s="426"/>
      <c r="N6" s="426"/>
      <c r="O6" s="116"/>
      <c r="P6" s="130"/>
      <c r="Q6" s="427"/>
      <c r="R6" s="428"/>
      <c r="S6" s="428"/>
      <c r="T6" s="119"/>
      <c r="U6" s="130"/>
      <c r="V6" s="433"/>
      <c r="W6" s="433"/>
      <c r="X6" s="433"/>
      <c r="Y6" s="132"/>
      <c r="Z6" s="130"/>
      <c r="AA6" s="421"/>
      <c r="AB6" s="421"/>
      <c r="AC6" s="132"/>
      <c r="AD6" s="130"/>
      <c r="AE6" s="133"/>
    </row>
    <row r="7" spans="1:31" s="52" customFormat="1" x14ac:dyDescent="0.3">
      <c r="A7" s="1429" t="s">
        <v>2</v>
      </c>
      <c r="B7" s="1430"/>
      <c r="C7" s="1430"/>
      <c r="D7" s="1430"/>
      <c r="E7" s="1430"/>
      <c r="F7" s="1430"/>
      <c r="G7" s="1430"/>
      <c r="H7" s="1430"/>
      <c r="I7" s="420"/>
      <c r="J7" s="340"/>
      <c r="K7" s="114"/>
      <c r="L7" s="426"/>
      <c r="M7" s="426"/>
      <c r="N7" s="426"/>
      <c r="O7" s="116"/>
      <c r="P7" s="130"/>
      <c r="Q7" s="427"/>
      <c r="R7" s="428"/>
      <c r="S7" s="428"/>
      <c r="T7" s="119"/>
      <c r="U7" s="130"/>
      <c r="V7" s="433"/>
      <c r="W7" s="433"/>
      <c r="X7" s="433"/>
      <c r="Y7" s="132"/>
      <c r="Z7" s="130"/>
      <c r="AA7" s="433"/>
      <c r="AB7" s="433"/>
      <c r="AC7" s="132"/>
      <c r="AD7" s="130"/>
      <c r="AE7" s="133"/>
    </row>
    <row r="8" spans="1:31" ht="19.5" thickBot="1" x14ac:dyDescent="0.35">
      <c r="A8" s="135" t="s">
        <v>169</v>
      </c>
      <c r="B8" s="434"/>
      <c r="C8" s="432"/>
      <c r="D8" s="432"/>
      <c r="E8" s="137"/>
      <c r="F8" s="138"/>
      <c r="G8" s="432"/>
      <c r="H8" s="432"/>
      <c r="I8" s="432"/>
      <c r="J8" s="341"/>
      <c r="K8" s="138"/>
      <c r="L8" s="432"/>
      <c r="M8" s="432"/>
      <c r="N8" s="432"/>
      <c r="O8" s="128"/>
      <c r="P8" s="138"/>
      <c r="Q8" s="432"/>
      <c r="R8" s="432"/>
      <c r="S8" s="432"/>
      <c r="T8" s="128"/>
      <c r="U8" s="138"/>
      <c r="V8" s="432"/>
      <c r="W8" s="432"/>
      <c r="X8" s="432"/>
      <c r="Y8" s="128"/>
      <c r="Z8" s="138"/>
      <c r="AA8" s="432"/>
      <c r="AB8" s="432"/>
      <c r="AC8" s="128"/>
      <c r="AD8" s="138"/>
      <c r="AE8" s="139"/>
    </row>
    <row r="9" spans="1:31" x14ac:dyDescent="0.3">
      <c r="A9" s="1344"/>
      <c r="B9" s="1472" t="s">
        <v>53</v>
      </c>
      <c r="C9" s="1447"/>
      <c r="D9" s="1448"/>
      <c r="E9" s="1449"/>
      <c r="F9" s="141"/>
      <c r="G9" s="1446" t="s">
        <v>54</v>
      </c>
      <c r="H9" s="1447"/>
      <c r="I9" s="1447"/>
      <c r="J9" s="1450"/>
      <c r="K9" s="141"/>
      <c r="L9" s="1451" t="s">
        <v>55</v>
      </c>
      <c r="M9" s="1452"/>
      <c r="N9" s="1452"/>
      <c r="O9" s="1453"/>
      <c r="P9" s="141"/>
      <c r="Q9" s="1454" t="s">
        <v>56</v>
      </c>
      <c r="R9" s="1448"/>
      <c r="S9" s="1448"/>
      <c r="T9" s="1449"/>
      <c r="U9" s="141"/>
      <c r="V9" s="1455" t="s">
        <v>57</v>
      </c>
      <c r="W9" s="1456"/>
      <c r="X9" s="1456"/>
      <c r="Y9" s="1457"/>
      <c r="Z9" s="141"/>
      <c r="AA9" s="1455" t="s">
        <v>196</v>
      </c>
      <c r="AB9" s="1456"/>
      <c r="AC9" s="1457"/>
      <c r="AD9" s="142"/>
      <c r="AE9" s="1439" t="s">
        <v>58</v>
      </c>
    </row>
    <row r="10" spans="1:31" ht="37.5" x14ac:dyDescent="0.3">
      <c r="A10" s="1303" t="s">
        <v>59</v>
      </c>
      <c r="B10" s="1290" t="s">
        <v>60</v>
      </c>
      <c r="C10" s="435" t="s">
        <v>61</v>
      </c>
      <c r="D10" s="1441" t="s">
        <v>62</v>
      </c>
      <c r="E10" s="1442"/>
      <c r="F10" s="947"/>
      <c r="G10" s="1290" t="s">
        <v>60</v>
      </c>
      <c r="H10" s="435" t="s">
        <v>61</v>
      </c>
      <c r="I10" s="1443" t="s">
        <v>62</v>
      </c>
      <c r="J10" s="1470"/>
      <c r="K10" s="947"/>
      <c r="L10" s="1290" t="s">
        <v>60</v>
      </c>
      <c r="M10" s="435" t="s">
        <v>61</v>
      </c>
      <c r="N10" s="1443" t="s">
        <v>62</v>
      </c>
      <c r="O10" s="1471"/>
      <c r="P10" s="145"/>
      <c r="Q10" s="436" t="s">
        <v>60</v>
      </c>
      <c r="R10" s="437" t="s">
        <v>61</v>
      </c>
      <c r="S10" s="1445" t="s">
        <v>62</v>
      </c>
      <c r="T10" s="1442"/>
      <c r="U10" s="145"/>
      <c r="V10" s="436" t="s">
        <v>60</v>
      </c>
      <c r="W10" s="437" t="s">
        <v>61</v>
      </c>
      <c r="X10" s="1445" t="s">
        <v>62</v>
      </c>
      <c r="Y10" s="1442"/>
      <c r="Z10" s="145"/>
      <c r="AA10" s="438" t="s">
        <v>63</v>
      </c>
      <c r="AB10" s="1445" t="s">
        <v>64</v>
      </c>
      <c r="AC10" s="1442"/>
      <c r="AD10" s="149"/>
      <c r="AE10" s="1440"/>
    </row>
    <row r="11" spans="1:31" ht="19.5" thickBot="1" x14ac:dyDescent="0.35">
      <c r="A11" s="1304"/>
      <c r="B11" s="1289" t="s">
        <v>107</v>
      </c>
      <c r="C11" s="439" t="s">
        <v>107</v>
      </c>
      <c r="D11" s="440" t="s">
        <v>107</v>
      </c>
      <c r="E11" s="153" t="s">
        <v>65</v>
      </c>
      <c r="F11" s="948"/>
      <c r="G11" s="1289" t="s">
        <v>107</v>
      </c>
      <c r="H11" s="439" t="s">
        <v>107</v>
      </c>
      <c r="I11" s="441" t="s">
        <v>107</v>
      </c>
      <c r="J11" s="1164" t="s">
        <v>65</v>
      </c>
      <c r="K11" s="948"/>
      <c r="L11" s="1289" t="s">
        <v>107</v>
      </c>
      <c r="M11" s="439" t="s">
        <v>107</v>
      </c>
      <c r="N11" s="441" t="s">
        <v>107</v>
      </c>
      <c r="O11" s="161" t="s">
        <v>65</v>
      </c>
      <c r="P11" s="948"/>
      <c r="Q11" s="1345" t="s">
        <v>107</v>
      </c>
      <c r="R11" s="443" t="s">
        <v>107</v>
      </c>
      <c r="S11" s="444" t="s">
        <v>107</v>
      </c>
      <c r="T11" s="161" t="s">
        <v>65</v>
      </c>
      <c r="U11" s="154"/>
      <c r="V11" s="442" t="s">
        <v>107</v>
      </c>
      <c r="W11" s="443" t="s">
        <v>107</v>
      </c>
      <c r="X11" s="444" t="s">
        <v>107</v>
      </c>
      <c r="Y11" s="161" t="s">
        <v>65</v>
      </c>
      <c r="Z11" s="154"/>
      <c r="AA11" s="442" t="s">
        <v>107</v>
      </c>
      <c r="AB11" s="444" t="s">
        <v>107</v>
      </c>
      <c r="AC11" s="161" t="s">
        <v>65</v>
      </c>
      <c r="AD11" s="1293"/>
      <c r="AE11" s="1469"/>
    </row>
    <row r="12" spans="1:31" ht="19.5" thickBot="1" x14ac:dyDescent="0.35">
      <c r="A12" s="1301"/>
      <c r="B12" s="1291"/>
      <c r="C12" s="1291"/>
      <c r="D12" s="446"/>
      <c r="E12" s="1296"/>
      <c r="F12" s="949"/>
      <c r="G12" s="1291"/>
      <c r="H12" s="445"/>
      <c r="I12" s="446"/>
      <c r="J12" s="1328"/>
      <c r="K12" s="949"/>
      <c r="L12" s="1291"/>
      <c r="M12" s="445"/>
      <c r="N12" s="446"/>
      <c r="O12" s="866"/>
      <c r="P12" s="949"/>
      <c r="Q12" s="447"/>
      <c r="R12" s="446"/>
      <c r="S12" s="446"/>
      <c r="T12" s="910"/>
      <c r="U12" s="932"/>
      <c r="V12" s="447"/>
      <c r="W12" s="446"/>
      <c r="X12" s="446"/>
      <c r="Y12" s="866"/>
      <c r="Z12" s="949"/>
      <c r="AA12" s="447"/>
      <c r="AB12" s="446"/>
      <c r="AC12" s="866"/>
      <c r="AD12" s="1294"/>
      <c r="AE12" s="171"/>
    </row>
    <row r="13" spans="1:31" x14ac:dyDescent="0.3">
      <c r="A13" s="1302" t="s">
        <v>66</v>
      </c>
      <c r="B13" s="1278"/>
      <c r="C13" s="1278"/>
      <c r="D13" s="448"/>
      <c r="E13" s="1161"/>
      <c r="F13" s="1327"/>
      <c r="G13" s="1278"/>
      <c r="H13" s="448"/>
      <c r="I13" s="448"/>
      <c r="J13" s="1329"/>
      <c r="K13" s="933"/>
      <c r="L13" s="1278"/>
      <c r="M13" s="448"/>
      <c r="N13" s="448"/>
      <c r="O13" s="867"/>
      <c r="P13" s="933"/>
      <c r="Q13" s="1278"/>
      <c r="R13" s="448"/>
      <c r="S13" s="448"/>
      <c r="T13" s="911"/>
      <c r="U13" s="933"/>
      <c r="V13" s="1278"/>
      <c r="W13" s="448"/>
      <c r="X13" s="448"/>
      <c r="Y13" s="867"/>
      <c r="Z13" s="1351"/>
      <c r="AA13" s="1278"/>
      <c r="AB13" s="448"/>
      <c r="AC13" s="867"/>
      <c r="AD13" s="1284"/>
      <c r="AE13" s="927"/>
    </row>
    <row r="14" spans="1:31" ht="19.5" thickBot="1" x14ac:dyDescent="0.35">
      <c r="A14" s="1272" t="s">
        <v>132</v>
      </c>
      <c r="B14" s="453">
        <v>19454</v>
      </c>
      <c r="C14" s="642">
        <v>8640</v>
      </c>
      <c r="D14" s="452">
        <f>C14-B14</f>
        <v>-10814</v>
      </c>
      <c r="E14" s="1306">
        <f>IF(ISERROR(D14/B14),"-",D14/B14)</f>
        <v>-0.55587539837565536</v>
      </c>
      <c r="F14" s="934"/>
      <c r="G14" s="642">
        <v>19454</v>
      </c>
      <c r="H14" s="1270">
        <v>3504</v>
      </c>
      <c r="I14" s="452">
        <f>H14-G14</f>
        <v>-15950</v>
      </c>
      <c r="J14" s="1330">
        <f t="shared" ref="J14:J25" si="0">IF(ISERROR(I14/G14),"-",I14/G14)</f>
        <v>-0.81988280045234918</v>
      </c>
      <c r="K14" s="934"/>
      <c r="L14" s="642">
        <v>19454</v>
      </c>
      <c r="M14" s="451">
        <v>3593</v>
      </c>
      <c r="N14" s="452">
        <f>M14-L14</f>
        <v>-15861</v>
      </c>
      <c r="O14" s="868">
        <f t="shared" ref="O14:O25" si="1">IF(ISERROR(N14/L14),"-",N14/L14)</f>
        <v>-0.81530790582913537</v>
      </c>
      <c r="P14" s="184"/>
      <c r="Q14" s="453">
        <v>19455</v>
      </c>
      <c r="R14" s="642">
        <v>61217</v>
      </c>
      <c r="S14" s="452">
        <f>R14-Q14</f>
        <v>41762</v>
      </c>
      <c r="T14" s="912">
        <f t="shared" ref="T14:T29" si="2">IF(ISERROR(S14/Q14),"-",S14/Q14)</f>
        <v>2.1465947057311747</v>
      </c>
      <c r="U14" s="934"/>
      <c r="V14" s="642">
        <f>B14+G14+L14+Q14</f>
        <v>77817</v>
      </c>
      <c r="W14" s="451">
        <f>C14+H14+M14+R14</f>
        <v>76954</v>
      </c>
      <c r="X14" s="452">
        <f>W14-V14</f>
        <v>-863</v>
      </c>
      <c r="Y14" s="868">
        <f t="shared" ref="Y14:Y25" si="3">IF(ISERROR(X14/V14),"-",X14/V14)</f>
        <v>-1.1090121695773418E-2</v>
      </c>
      <c r="Z14" s="1352"/>
      <c r="AA14" s="642">
        <v>77817</v>
      </c>
      <c r="AB14" s="452">
        <f>AA14-W14</f>
        <v>863</v>
      </c>
      <c r="AC14" s="868">
        <f>IF(ISERROR(AB14/AA14),"-",AB14/AA14)</f>
        <v>1.1090121695773418E-2</v>
      </c>
      <c r="AD14" s="1285"/>
      <c r="AE14" s="928"/>
    </row>
    <row r="15" spans="1:31" x14ac:dyDescent="0.3">
      <c r="A15" s="1299" t="s">
        <v>111</v>
      </c>
      <c r="B15" s="453">
        <v>1984</v>
      </c>
      <c r="C15" s="642">
        <v>150</v>
      </c>
      <c r="D15" s="452">
        <f t="shared" ref="D15:D24" si="4">C15-B15</f>
        <v>-1834</v>
      </c>
      <c r="E15" s="1306">
        <f t="shared" ref="E15:E25" si="5">IF(ISERROR(D15/B15),"-",D15/B15)</f>
        <v>-0.92439516129032262</v>
      </c>
      <c r="F15" s="934"/>
      <c r="G15" s="642">
        <v>1984</v>
      </c>
      <c r="H15" s="451">
        <v>1030</v>
      </c>
      <c r="I15" s="452">
        <f t="shared" ref="I15:I24" si="6">H15-G15</f>
        <v>-954</v>
      </c>
      <c r="J15" s="1331">
        <f t="shared" si="0"/>
        <v>-0.48084677419354838</v>
      </c>
      <c r="K15" s="1332"/>
      <c r="L15" s="642">
        <v>1984</v>
      </c>
      <c r="M15" s="451">
        <v>0</v>
      </c>
      <c r="N15" s="452">
        <f t="shared" ref="N15:N24" si="7">M15-L15</f>
        <v>-1984</v>
      </c>
      <c r="O15" s="868">
        <f t="shared" si="1"/>
        <v>-1</v>
      </c>
      <c r="P15" s="184"/>
      <c r="Q15" s="453">
        <v>1983</v>
      </c>
      <c r="R15" s="642">
        <v>1260</v>
      </c>
      <c r="S15" s="452">
        <f>R15-Q15</f>
        <v>-723</v>
      </c>
      <c r="T15" s="912">
        <f t="shared" si="2"/>
        <v>-0.36459909228441756</v>
      </c>
      <c r="U15" s="934"/>
      <c r="V15" s="642">
        <f t="shared" ref="V15:W24" si="8">B15+G15+L15+Q15</f>
        <v>7935</v>
      </c>
      <c r="W15" s="451">
        <f>C15+H15+M15+R15</f>
        <v>2440</v>
      </c>
      <c r="X15" s="452">
        <f t="shared" ref="X15:X24" si="9">W15-V15</f>
        <v>-5495</v>
      </c>
      <c r="Y15" s="868">
        <f t="shared" si="3"/>
        <v>-0.69250157529930689</v>
      </c>
      <c r="Z15" s="1352"/>
      <c r="AA15" s="642">
        <v>0</v>
      </c>
      <c r="AB15" s="452">
        <f t="shared" ref="AB15:AB24" si="10">AA15-W15</f>
        <v>-2440</v>
      </c>
      <c r="AC15" s="868" t="str">
        <f t="shared" ref="AC15:AC25" si="11">IF(ISERROR(AB15/AA15),"-",AB15/AA15)</f>
        <v>-</v>
      </c>
      <c r="AD15" s="1285"/>
      <c r="AE15" s="928"/>
    </row>
    <row r="16" spans="1:31" x14ac:dyDescent="0.3">
      <c r="A16" s="190" t="s">
        <v>69</v>
      </c>
      <c r="B16" s="453">
        <v>384392</v>
      </c>
      <c r="C16" s="642">
        <v>300006</v>
      </c>
      <c r="D16" s="452">
        <f t="shared" si="4"/>
        <v>-84386</v>
      </c>
      <c r="E16" s="1306">
        <f t="shared" si="5"/>
        <v>-0.21953110366500864</v>
      </c>
      <c r="F16" s="935"/>
      <c r="G16" s="642">
        <v>384392</v>
      </c>
      <c r="H16" s="451">
        <v>275412</v>
      </c>
      <c r="I16" s="452">
        <f t="shared" si="6"/>
        <v>-108980</v>
      </c>
      <c r="J16" s="1331">
        <f t="shared" si="0"/>
        <v>-0.28351266415534143</v>
      </c>
      <c r="K16" s="935"/>
      <c r="L16" s="642">
        <v>384392</v>
      </c>
      <c r="M16" s="451">
        <v>241302</v>
      </c>
      <c r="N16" s="452">
        <f t="shared" si="7"/>
        <v>-143090</v>
      </c>
      <c r="O16" s="868">
        <f t="shared" si="1"/>
        <v>-0.37225020291785471</v>
      </c>
      <c r="P16" s="191"/>
      <c r="Q16" s="453">
        <v>384390</v>
      </c>
      <c r="R16" s="642">
        <v>253522</v>
      </c>
      <c r="S16" s="452">
        <f t="shared" ref="S16:S24" si="12">R16-Q16</f>
        <v>-130868</v>
      </c>
      <c r="T16" s="912">
        <f t="shared" si="2"/>
        <v>-0.34045630739613414</v>
      </c>
      <c r="U16" s="935"/>
      <c r="V16" s="642">
        <f t="shared" si="8"/>
        <v>1537566</v>
      </c>
      <c r="W16" s="451">
        <f t="shared" si="8"/>
        <v>1070242</v>
      </c>
      <c r="X16" s="452">
        <f t="shared" si="9"/>
        <v>-467324</v>
      </c>
      <c r="Y16" s="868">
        <f t="shared" si="3"/>
        <v>-0.30393752203157459</v>
      </c>
      <c r="Z16" s="1352"/>
      <c r="AA16" s="642">
        <v>1537566</v>
      </c>
      <c r="AB16" s="452">
        <f t="shared" si="10"/>
        <v>467324</v>
      </c>
      <c r="AC16" s="868">
        <f t="shared" si="11"/>
        <v>0.30393752203157459</v>
      </c>
      <c r="AD16" s="1358"/>
      <c r="AE16" s="929"/>
    </row>
    <row r="17" spans="1:33" x14ac:dyDescent="0.3">
      <c r="A17" s="190" t="s">
        <v>68</v>
      </c>
      <c r="B17" s="453">
        <v>0</v>
      </c>
      <c r="C17" s="642">
        <v>0</v>
      </c>
      <c r="D17" s="452">
        <f t="shared" si="4"/>
        <v>0</v>
      </c>
      <c r="E17" s="1306" t="str">
        <f t="shared" si="5"/>
        <v>-</v>
      </c>
      <c r="F17" s="934"/>
      <c r="G17" s="642">
        <v>0</v>
      </c>
      <c r="H17" s="451">
        <v>0</v>
      </c>
      <c r="I17" s="452">
        <f t="shared" si="6"/>
        <v>0</v>
      </c>
      <c r="J17" s="1331" t="str">
        <f t="shared" si="0"/>
        <v>-</v>
      </c>
      <c r="K17" s="934"/>
      <c r="L17" s="642">
        <v>0</v>
      </c>
      <c r="M17" s="451">
        <v>0</v>
      </c>
      <c r="N17" s="452">
        <f t="shared" si="7"/>
        <v>0</v>
      </c>
      <c r="O17" s="868" t="str">
        <f t="shared" si="1"/>
        <v>-</v>
      </c>
      <c r="P17" s="184"/>
      <c r="Q17" s="453">
        <v>0</v>
      </c>
      <c r="R17" s="642">
        <v>0</v>
      </c>
      <c r="S17" s="452">
        <f t="shared" si="12"/>
        <v>0</v>
      </c>
      <c r="T17" s="912" t="str">
        <f t="shared" si="2"/>
        <v>-</v>
      </c>
      <c r="U17" s="934"/>
      <c r="V17" s="642">
        <f t="shared" si="8"/>
        <v>0</v>
      </c>
      <c r="W17" s="451">
        <f t="shared" si="8"/>
        <v>0</v>
      </c>
      <c r="X17" s="452">
        <f t="shared" si="9"/>
        <v>0</v>
      </c>
      <c r="Y17" s="868" t="str">
        <f t="shared" si="3"/>
        <v>-</v>
      </c>
      <c r="Z17" s="1352"/>
      <c r="AA17" s="642">
        <v>0</v>
      </c>
      <c r="AB17" s="452">
        <f t="shared" si="10"/>
        <v>0</v>
      </c>
      <c r="AC17" s="868" t="str">
        <f t="shared" si="11"/>
        <v>-</v>
      </c>
      <c r="AD17" s="1285"/>
      <c r="AE17" s="928"/>
    </row>
    <row r="18" spans="1:33" x14ac:dyDescent="0.3">
      <c r="A18" s="190" t="s">
        <v>71</v>
      </c>
      <c r="B18" s="453">
        <v>1737</v>
      </c>
      <c r="C18" s="642">
        <v>0</v>
      </c>
      <c r="D18" s="452">
        <f t="shared" si="4"/>
        <v>-1737</v>
      </c>
      <c r="E18" s="1306">
        <f t="shared" si="5"/>
        <v>-1</v>
      </c>
      <c r="F18" s="934"/>
      <c r="G18" s="642">
        <v>0</v>
      </c>
      <c r="H18" s="451">
        <v>0</v>
      </c>
      <c r="I18" s="452">
        <f t="shared" si="6"/>
        <v>0</v>
      </c>
      <c r="J18" s="1331" t="str">
        <f t="shared" si="0"/>
        <v>-</v>
      </c>
      <c r="K18" s="934"/>
      <c r="L18" s="642">
        <v>0</v>
      </c>
      <c r="M18" s="451">
        <v>0</v>
      </c>
      <c r="N18" s="452">
        <f t="shared" si="7"/>
        <v>0</v>
      </c>
      <c r="O18" s="868" t="str">
        <f t="shared" si="1"/>
        <v>-</v>
      </c>
      <c r="P18" s="184"/>
      <c r="Q18" s="453">
        <v>1</v>
      </c>
      <c r="R18" s="642">
        <v>0</v>
      </c>
      <c r="S18" s="452">
        <f>R18-Q18</f>
        <v>-1</v>
      </c>
      <c r="T18" s="912">
        <f t="shared" si="2"/>
        <v>-1</v>
      </c>
      <c r="U18" s="934"/>
      <c r="V18" s="642">
        <f t="shared" si="8"/>
        <v>1738</v>
      </c>
      <c r="W18" s="451">
        <f>C18+H18+M18+R18</f>
        <v>0</v>
      </c>
      <c r="X18" s="452">
        <f t="shared" si="9"/>
        <v>-1738</v>
      </c>
      <c r="Y18" s="868">
        <f t="shared" si="3"/>
        <v>-1</v>
      </c>
      <c r="Z18" s="188"/>
      <c r="AA18" s="450">
        <v>7935</v>
      </c>
      <c r="AB18" s="452">
        <f t="shared" si="10"/>
        <v>7935</v>
      </c>
      <c r="AC18" s="868">
        <f t="shared" si="11"/>
        <v>1</v>
      </c>
      <c r="AD18" s="1285"/>
      <c r="AE18" s="928"/>
    </row>
    <row r="19" spans="1:33" x14ac:dyDescent="0.3">
      <c r="A19" s="190" t="s">
        <v>202</v>
      </c>
      <c r="B19" s="453">
        <v>0</v>
      </c>
      <c r="C19" s="642">
        <v>0</v>
      </c>
      <c r="D19" s="452">
        <f t="shared" si="4"/>
        <v>0</v>
      </c>
      <c r="E19" s="1306" t="str">
        <f t="shared" si="5"/>
        <v>-</v>
      </c>
      <c r="F19" s="934"/>
      <c r="G19" s="642">
        <v>0</v>
      </c>
      <c r="H19" s="451">
        <v>0</v>
      </c>
      <c r="I19" s="452">
        <f t="shared" si="6"/>
        <v>0</v>
      </c>
      <c r="J19" s="1331" t="str">
        <f t="shared" si="0"/>
        <v>-</v>
      </c>
      <c r="K19" s="934"/>
      <c r="L19" s="642">
        <v>0</v>
      </c>
      <c r="M19" s="451">
        <v>0</v>
      </c>
      <c r="N19" s="452">
        <f t="shared" si="7"/>
        <v>0</v>
      </c>
      <c r="O19" s="868" t="str">
        <f t="shared" si="1"/>
        <v>-</v>
      </c>
      <c r="P19" s="184"/>
      <c r="Q19" s="453">
        <v>1</v>
      </c>
      <c r="R19" s="642">
        <v>0</v>
      </c>
      <c r="S19" s="452">
        <f>R19-Q19</f>
        <v>-1</v>
      </c>
      <c r="T19" s="912">
        <f>IF(ISERROR(S19/Q19),"-",S19/Q19)</f>
        <v>-1</v>
      </c>
      <c r="U19" s="934"/>
      <c r="V19" s="642">
        <f>B19+G19+L19+Q19</f>
        <v>1</v>
      </c>
      <c r="W19" s="451">
        <f>C19+H19+M19+R19</f>
        <v>0</v>
      </c>
      <c r="X19" s="452">
        <f t="shared" si="9"/>
        <v>-1</v>
      </c>
      <c r="Y19" s="868">
        <f t="shared" si="3"/>
        <v>-1</v>
      </c>
      <c r="Z19" s="188"/>
      <c r="AA19" s="450">
        <v>0</v>
      </c>
      <c r="AB19" s="452">
        <f t="shared" si="10"/>
        <v>0</v>
      </c>
      <c r="AC19" s="868"/>
      <c r="AD19" s="1285"/>
      <c r="AE19" s="928"/>
    </row>
    <row r="20" spans="1:33" x14ac:dyDescent="0.3">
      <c r="A20" s="194" t="s">
        <v>67</v>
      </c>
      <c r="B20" s="453">
        <v>0</v>
      </c>
      <c r="C20" s="642">
        <v>0</v>
      </c>
      <c r="D20" s="452">
        <f t="shared" si="4"/>
        <v>0</v>
      </c>
      <c r="E20" s="1306" t="str">
        <f t="shared" si="5"/>
        <v>-</v>
      </c>
      <c r="F20" s="934"/>
      <c r="G20" s="642">
        <v>0</v>
      </c>
      <c r="H20" s="451">
        <v>0</v>
      </c>
      <c r="I20" s="452">
        <f t="shared" si="6"/>
        <v>0</v>
      </c>
      <c r="J20" s="1331" t="str">
        <f t="shared" si="0"/>
        <v>-</v>
      </c>
      <c r="K20" s="934"/>
      <c r="L20" s="642">
        <v>0</v>
      </c>
      <c r="M20" s="451">
        <v>0</v>
      </c>
      <c r="N20" s="452">
        <f t="shared" si="7"/>
        <v>0</v>
      </c>
      <c r="O20" s="868" t="str">
        <f t="shared" si="1"/>
        <v>-</v>
      </c>
      <c r="P20" s="184"/>
      <c r="Q20" s="453">
        <v>0</v>
      </c>
      <c r="R20" s="642">
        <v>0</v>
      </c>
      <c r="S20" s="452">
        <f t="shared" si="12"/>
        <v>0</v>
      </c>
      <c r="T20" s="912" t="str">
        <f t="shared" si="2"/>
        <v>-</v>
      </c>
      <c r="U20" s="934"/>
      <c r="V20" s="642">
        <f t="shared" si="8"/>
        <v>0</v>
      </c>
      <c r="W20" s="451">
        <f>C20+H20+M20+R20</f>
        <v>0</v>
      </c>
      <c r="X20" s="452">
        <f t="shared" si="9"/>
        <v>0</v>
      </c>
      <c r="Y20" s="868" t="str">
        <f t="shared" si="3"/>
        <v>-</v>
      </c>
      <c r="Z20" s="188"/>
      <c r="AA20" s="450">
        <v>0</v>
      </c>
      <c r="AB20" s="452">
        <f t="shared" si="10"/>
        <v>0</v>
      </c>
      <c r="AC20" s="868" t="str">
        <f t="shared" si="11"/>
        <v>-</v>
      </c>
      <c r="AD20" s="1285"/>
      <c r="AE20" s="928"/>
    </row>
    <row r="21" spans="1:33" x14ac:dyDescent="0.3">
      <c r="A21" s="181" t="s">
        <v>112</v>
      </c>
      <c r="B21" s="453">
        <v>0</v>
      </c>
      <c r="C21" s="642">
        <v>0</v>
      </c>
      <c r="D21" s="452">
        <f t="shared" si="4"/>
        <v>0</v>
      </c>
      <c r="E21" s="1306" t="str">
        <f t="shared" si="5"/>
        <v>-</v>
      </c>
      <c r="F21" s="934"/>
      <c r="G21" s="642">
        <v>0</v>
      </c>
      <c r="H21" s="451">
        <v>0</v>
      </c>
      <c r="I21" s="452">
        <f t="shared" si="6"/>
        <v>0</v>
      </c>
      <c r="J21" s="1331" t="str">
        <f t="shared" si="0"/>
        <v>-</v>
      </c>
      <c r="K21" s="934"/>
      <c r="L21" s="450">
        <v>0</v>
      </c>
      <c r="M21" s="451">
        <v>0</v>
      </c>
      <c r="N21" s="452">
        <f t="shared" si="7"/>
        <v>0</v>
      </c>
      <c r="O21" s="868" t="str">
        <f t="shared" si="1"/>
        <v>-</v>
      </c>
      <c r="P21" s="184"/>
      <c r="Q21" s="453">
        <v>0</v>
      </c>
      <c r="R21" s="642">
        <v>0</v>
      </c>
      <c r="S21" s="452">
        <f t="shared" si="12"/>
        <v>0</v>
      </c>
      <c r="T21" s="912" t="str">
        <f t="shared" si="2"/>
        <v>-</v>
      </c>
      <c r="U21" s="934"/>
      <c r="V21" s="642">
        <f t="shared" si="8"/>
        <v>0</v>
      </c>
      <c r="W21" s="451">
        <f>C21+H21+M21+R21</f>
        <v>0</v>
      </c>
      <c r="X21" s="452">
        <f t="shared" si="9"/>
        <v>0</v>
      </c>
      <c r="Y21" s="868" t="str">
        <f t="shared" si="3"/>
        <v>-</v>
      </c>
      <c r="Z21" s="188"/>
      <c r="AA21" s="450">
        <v>0</v>
      </c>
      <c r="AB21" s="452">
        <f t="shared" si="10"/>
        <v>0</v>
      </c>
      <c r="AC21" s="868" t="str">
        <f t="shared" si="11"/>
        <v>-</v>
      </c>
      <c r="AD21" s="1285"/>
      <c r="AE21" s="928"/>
    </row>
    <row r="22" spans="1:33" x14ac:dyDescent="0.3">
      <c r="A22" s="190" t="s">
        <v>70</v>
      </c>
      <c r="B22" s="453">
        <v>0</v>
      </c>
      <c r="C22" s="642">
        <v>0</v>
      </c>
      <c r="D22" s="452">
        <f t="shared" si="4"/>
        <v>0</v>
      </c>
      <c r="E22" s="1306" t="str">
        <f t="shared" si="5"/>
        <v>-</v>
      </c>
      <c r="F22" s="934"/>
      <c r="G22" s="642">
        <v>0</v>
      </c>
      <c r="H22" s="451">
        <v>0</v>
      </c>
      <c r="I22" s="452">
        <f t="shared" si="6"/>
        <v>0</v>
      </c>
      <c r="J22" s="1331" t="str">
        <f t="shared" si="0"/>
        <v>-</v>
      </c>
      <c r="K22" s="934"/>
      <c r="L22" s="450">
        <v>0</v>
      </c>
      <c r="M22" s="451">
        <v>0</v>
      </c>
      <c r="N22" s="452">
        <f t="shared" si="7"/>
        <v>0</v>
      </c>
      <c r="O22" s="868" t="str">
        <f t="shared" si="1"/>
        <v>-</v>
      </c>
      <c r="P22" s="184"/>
      <c r="Q22" s="453">
        <v>0</v>
      </c>
      <c r="R22" s="642">
        <v>0</v>
      </c>
      <c r="S22" s="452">
        <f t="shared" si="12"/>
        <v>0</v>
      </c>
      <c r="T22" s="912" t="str">
        <f t="shared" si="2"/>
        <v>-</v>
      </c>
      <c r="U22" s="934"/>
      <c r="V22" s="642">
        <f t="shared" si="8"/>
        <v>0</v>
      </c>
      <c r="W22" s="451">
        <f t="shared" si="8"/>
        <v>0</v>
      </c>
      <c r="X22" s="452">
        <f t="shared" si="9"/>
        <v>0</v>
      </c>
      <c r="Y22" s="868" t="str">
        <f t="shared" si="3"/>
        <v>-</v>
      </c>
      <c r="Z22" s="188"/>
      <c r="AA22" s="450">
        <v>0</v>
      </c>
      <c r="AB22" s="452">
        <f t="shared" si="10"/>
        <v>0</v>
      </c>
      <c r="AC22" s="868" t="str">
        <f t="shared" si="11"/>
        <v>-</v>
      </c>
      <c r="AD22" s="1285"/>
      <c r="AE22" s="928"/>
      <c r="AG22" s="195"/>
    </row>
    <row r="23" spans="1:33" x14ac:dyDescent="0.3">
      <c r="A23" s="190" t="s">
        <v>72</v>
      </c>
      <c r="B23" s="453">
        <v>0</v>
      </c>
      <c r="C23" s="642">
        <v>0</v>
      </c>
      <c r="D23" s="452">
        <f t="shared" si="4"/>
        <v>0</v>
      </c>
      <c r="E23" s="1306" t="str">
        <f t="shared" si="5"/>
        <v>-</v>
      </c>
      <c r="F23" s="934"/>
      <c r="G23" s="642">
        <v>0</v>
      </c>
      <c r="H23" s="451">
        <v>0</v>
      </c>
      <c r="I23" s="452">
        <f t="shared" si="6"/>
        <v>0</v>
      </c>
      <c r="J23" s="1331" t="str">
        <f t="shared" si="0"/>
        <v>-</v>
      </c>
      <c r="K23" s="934"/>
      <c r="L23" s="450">
        <v>0</v>
      </c>
      <c r="M23" s="451">
        <v>0</v>
      </c>
      <c r="N23" s="452">
        <f t="shared" si="7"/>
        <v>0</v>
      </c>
      <c r="O23" s="868" t="str">
        <f t="shared" si="1"/>
        <v>-</v>
      </c>
      <c r="P23" s="184"/>
      <c r="Q23" s="453">
        <v>0</v>
      </c>
      <c r="R23" s="642">
        <v>0</v>
      </c>
      <c r="S23" s="452">
        <f t="shared" si="12"/>
        <v>0</v>
      </c>
      <c r="T23" s="912" t="str">
        <f t="shared" si="2"/>
        <v>-</v>
      </c>
      <c r="U23" s="934"/>
      <c r="V23" s="642">
        <f t="shared" si="8"/>
        <v>0</v>
      </c>
      <c r="W23" s="451">
        <f t="shared" si="8"/>
        <v>0</v>
      </c>
      <c r="X23" s="452">
        <f t="shared" si="9"/>
        <v>0</v>
      </c>
      <c r="Y23" s="868" t="str">
        <f t="shared" si="3"/>
        <v>-</v>
      </c>
      <c r="Z23" s="188"/>
      <c r="AA23" s="450">
        <v>0</v>
      </c>
      <c r="AB23" s="452">
        <f t="shared" si="10"/>
        <v>0</v>
      </c>
      <c r="AC23" s="868" t="str">
        <f t="shared" si="11"/>
        <v>-</v>
      </c>
      <c r="AD23" s="1285"/>
      <c r="AE23" s="929"/>
    </row>
    <row r="24" spans="1:33" ht="19.5" thickBot="1" x14ac:dyDescent="0.35">
      <c r="A24" s="190" t="s">
        <v>131</v>
      </c>
      <c r="B24" s="453">
        <v>0</v>
      </c>
      <c r="C24" s="642">
        <v>0</v>
      </c>
      <c r="D24" s="452">
        <f t="shared" si="4"/>
        <v>0</v>
      </c>
      <c r="E24" s="1306" t="str">
        <f t="shared" si="5"/>
        <v>-</v>
      </c>
      <c r="F24" s="934"/>
      <c r="G24" s="642">
        <v>0</v>
      </c>
      <c r="H24" s="451">
        <v>0</v>
      </c>
      <c r="I24" s="452">
        <f t="shared" si="6"/>
        <v>0</v>
      </c>
      <c r="J24" s="1331" t="str">
        <f t="shared" si="0"/>
        <v>-</v>
      </c>
      <c r="K24" s="1321"/>
      <c r="L24" s="450">
        <v>0</v>
      </c>
      <c r="M24" s="451">
        <v>0</v>
      </c>
      <c r="N24" s="452">
        <f t="shared" si="7"/>
        <v>0</v>
      </c>
      <c r="O24" s="868" t="str">
        <f t="shared" si="1"/>
        <v>-</v>
      </c>
      <c r="P24" s="184"/>
      <c r="Q24" s="1325">
        <v>0</v>
      </c>
      <c r="R24" s="642">
        <v>0</v>
      </c>
      <c r="S24" s="452">
        <f t="shared" si="12"/>
        <v>0</v>
      </c>
      <c r="T24" s="912" t="str">
        <f t="shared" si="2"/>
        <v>-</v>
      </c>
      <c r="U24" s="1321"/>
      <c r="V24" s="642">
        <f>B24+G24+L24+Q24</f>
        <v>0</v>
      </c>
      <c r="W24" s="451">
        <f t="shared" si="8"/>
        <v>0</v>
      </c>
      <c r="X24" s="452">
        <f t="shared" si="9"/>
        <v>0</v>
      </c>
      <c r="Y24" s="1319" t="str">
        <f t="shared" si="3"/>
        <v>-</v>
      </c>
      <c r="Z24" s="188"/>
      <c r="AA24" s="450">
        <v>0</v>
      </c>
      <c r="AB24" s="452">
        <f t="shared" si="10"/>
        <v>0</v>
      </c>
      <c r="AC24" s="868" t="str">
        <f t="shared" si="11"/>
        <v>-</v>
      </c>
      <c r="AD24" s="1285"/>
      <c r="AE24" s="928"/>
    </row>
    <row r="25" spans="1:33" x14ac:dyDescent="0.3">
      <c r="A25" s="199" t="s">
        <v>73</v>
      </c>
      <c r="B25" s="833">
        <f>SUM(B14:B24)</f>
        <v>407567</v>
      </c>
      <c r="C25" s="834">
        <f>SUM(C14:C24)</f>
        <v>308796</v>
      </c>
      <c r="D25" s="834">
        <f>SUM(D14:D24)</f>
        <v>-98771</v>
      </c>
      <c r="E25" s="1334">
        <f t="shared" si="5"/>
        <v>-0.24234297673756708</v>
      </c>
      <c r="F25" s="1335"/>
      <c r="G25" s="1336">
        <f>SUM(G14:G24)</f>
        <v>405830</v>
      </c>
      <c r="H25" s="834">
        <f>SUM(H14:H24)</f>
        <v>279946</v>
      </c>
      <c r="I25" s="834">
        <f>SUM(I14:I24)</f>
        <v>-125884</v>
      </c>
      <c r="J25" s="1337">
        <f t="shared" si="0"/>
        <v>-0.31018899539215927</v>
      </c>
      <c r="K25" s="203"/>
      <c r="L25" s="833">
        <f>SUM(L14:L24)</f>
        <v>405830</v>
      </c>
      <c r="M25" s="834">
        <f>SUM(M14:M24)</f>
        <v>244895</v>
      </c>
      <c r="N25" s="834">
        <f>SUM(N14:N24)</f>
        <v>-160935</v>
      </c>
      <c r="O25" s="1338">
        <f t="shared" si="1"/>
        <v>-0.39655767193159697</v>
      </c>
      <c r="P25" s="1335"/>
      <c r="Q25" s="1336">
        <f>SUM(Q14:Q24)</f>
        <v>405830</v>
      </c>
      <c r="R25" s="1339">
        <f>SUM(R14:R24)</f>
        <v>315999</v>
      </c>
      <c r="S25" s="833">
        <f>SUM(S14:S24)</f>
        <v>-89831</v>
      </c>
      <c r="T25" s="1340">
        <f t="shared" si="2"/>
        <v>-0.22135130473350911</v>
      </c>
      <c r="U25" s="1346"/>
      <c r="V25" s="1336">
        <f>SUM(V14:V24)</f>
        <v>1625057</v>
      </c>
      <c r="W25" s="834">
        <f>SUM(W14:W24)</f>
        <v>1149636</v>
      </c>
      <c r="X25" s="834">
        <f>SUM(X14:X24)</f>
        <v>-475421</v>
      </c>
      <c r="Y25" s="1340">
        <f t="shared" si="3"/>
        <v>-0.29255650724866883</v>
      </c>
      <c r="Z25" s="1341"/>
      <c r="AA25" s="1342">
        <f>SUM(AA14:AA24)</f>
        <v>1623318</v>
      </c>
      <c r="AB25" s="1343">
        <f>SUM(AB14:AB24)</f>
        <v>473682</v>
      </c>
      <c r="AC25" s="1360">
        <f t="shared" si="11"/>
        <v>0.29179864943282829</v>
      </c>
      <c r="AD25" s="1359"/>
      <c r="AE25" s="930"/>
    </row>
    <row r="26" spans="1:33" x14ac:dyDescent="0.3">
      <c r="A26" s="210"/>
      <c r="B26" s="450"/>
      <c r="C26" s="451"/>
      <c r="D26" s="451"/>
      <c r="E26" s="251"/>
      <c r="F26" s="184"/>
      <c r="G26" s="463"/>
      <c r="H26" s="464"/>
      <c r="I26" s="464"/>
      <c r="J26" s="349"/>
      <c r="K26" s="184"/>
      <c r="L26" s="450"/>
      <c r="M26" s="451"/>
      <c r="N26" s="451"/>
      <c r="O26" s="225"/>
      <c r="P26" s="184"/>
      <c r="Q26" s="463"/>
      <c r="R26" s="464"/>
      <c r="S26" s="464"/>
      <c r="T26" s="223" t="str">
        <f t="shared" si="2"/>
        <v>-</v>
      </c>
      <c r="U26" s="184"/>
      <c r="V26" s="450"/>
      <c r="W26" s="451"/>
      <c r="X26" s="451"/>
      <c r="Y26" s="225"/>
      <c r="Z26" s="188"/>
      <c r="AA26" s="450"/>
      <c r="AB26" s="451"/>
      <c r="AC26" s="225"/>
      <c r="AD26" s="1285"/>
      <c r="AE26" s="928"/>
    </row>
    <row r="27" spans="1:33" x14ac:dyDescent="0.3">
      <c r="A27" s="172" t="s">
        <v>74</v>
      </c>
      <c r="B27" s="450">
        <v>0</v>
      </c>
      <c r="C27" s="451">
        <v>0</v>
      </c>
      <c r="D27" s="451">
        <f>C27-B27</f>
        <v>0</v>
      </c>
      <c r="E27" s="220" t="str">
        <f>IF(ISERROR(D27/B27),"-",D27/B27)</f>
        <v>-</v>
      </c>
      <c r="F27" s="184"/>
      <c r="G27" s="463">
        <v>0</v>
      </c>
      <c r="H27" s="464">
        <v>0</v>
      </c>
      <c r="I27" s="451">
        <f>H27-G27</f>
        <v>0</v>
      </c>
      <c r="J27" s="345" t="str">
        <f>IF(ISERROR(I27/G27),"-",I27/G27)</f>
        <v>-</v>
      </c>
      <c r="K27" s="184"/>
      <c r="L27" s="450">
        <v>0</v>
      </c>
      <c r="M27" s="451">
        <v>0</v>
      </c>
      <c r="N27" s="451">
        <f>M27-L27</f>
        <v>0</v>
      </c>
      <c r="O27" s="222" t="str">
        <f>IF(ISERROR(N27/L27),"-",N27/L27)</f>
        <v>-</v>
      </c>
      <c r="P27" s="184"/>
      <c r="Q27" s="463">
        <v>0</v>
      </c>
      <c r="R27" s="464">
        <v>0</v>
      </c>
      <c r="S27" s="451">
        <f>R27-Q27</f>
        <v>0</v>
      </c>
      <c r="T27" s="223" t="str">
        <f t="shared" si="2"/>
        <v>-</v>
      </c>
      <c r="U27" s="184"/>
      <c r="V27" s="450">
        <f>B27+G27+L27+Q27</f>
        <v>0</v>
      </c>
      <c r="W27" s="451">
        <f>C27+H27+M27+R27</f>
        <v>0</v>
      </c>
      <c r="X27" s="451">
        <f>W27-V27</f>
        <v>0</v>
      </c>
      <c r="Y27" s="225"/>
      <c r="Z27" s="188"/>
      <c r="AA27" s="450">
        <v>0</v>
      </c>
      <c r="AB27" s="451">
        <v>0</v>
      </c>
      <c r="AC27" s="225"/>
      <c r="AD27" s="1285"/>
      <c r="AE27" s="928"/>
    </row>
    <row r="28" spans="1:33" x14ac:dyDescent="0.3">
      <c r="A28" s="226"/>
      <c r="B28" s="465"/>
      <c r="C28" s="466"/>
      <c r="D28" s="466"/>
      <c r="E28" s="229"/>
      <c r="F28" s="175"/>
      <c r="G28" s="467"/>
      <c r="H28" s="468"/>
      <c r="I28" s="468"/>
      <c r="J28" s="346"/>
      <c r="K28" s="175"/>
      <c r="L28" s="465"/>
      <c r="M28" s="466"/>
      <c r="N28" s="466"/>
      <c r="O28" s="233"/>
      <c r="P28" s="175"/>
      <c r="Q28" s="467"/>
      <c r="R28" s="468"/>
      <c r="S28" s="468"/>
      <c r="T28" s="234" t="str">
        <f t="shared" si="2"/>
        <v>-</v>
      </c>
      <c r="U28" s="175"/>
      <c r="V28" s="465"/>
      <c r="W28" s="466"/>
      <c r="X28" s="466"/>
      <c r="Y28" s="233"/>
      <c r="Z28" s="179"/>
      <c r="AA28" s="465"/>
      <c r="AB28" s="466"/>
      <c r="AC28" s="233"/>
      <c r="AD28" s="1284"/>
      <c r="AE28" s="928"/>
    </row>
    <row r="29" spans="1:33" x14ac:dyDescent="0.3">
      <c r="A29" s="199" t="s">
        <v>75</v>
      </c>
      <c r="B29" s="469">
        <f>B25+B27</f>
        <v>407567</v>
      </c>
      <c r="C29" s="470">
        <f>C25+C27</f>
        <v>308796</v>
      </c>
      <c r="D29" s="470">
        <f>D25+D27</f>
        <v>-98771</v>
      </c>
      <c r="E29" s="237">
        <f>IF(ISERROR(D29/B29),"-",D29/B29)</f>
        <v>-0.24234297673756708</v>
      </c>
      <c r="F29" s="203"/>
      <c r="G29" s="469">
        <f>G25+G27</f>
        <v>405830</v>
      </c>
      <c r="H29" s="470">
        <f>H25+H27</f>
        <v>279946</v>
      </c>
      <c r="I29" s="470">
        <f>I25+I27</f>
        <v>-125884</v>
      </c>
      <c r="J29" s="347">
        <f>IF(ISERROR(I29/G29),"-",I29/G29)</f>
        <v>-0.31018899539215927</v>
      </c>
      <c r="K29" s="203"/>
      <c r="L29" s="469">
        <f>L25+L27</f>
        <v>405830</v>
      </c>
      <c r="M29" s="470">
        <f>M25+M27</f>
        <v>244895</v>
      </c>
      <c r="N29" s="470">
        <f>N25+N27</f>
        <v>-160935</v>
      </c>
      <c r="O29" s="238">
        <f>IF(ISERROR(N29/L29),"-",N29/L29)</f>
        <v>-0.39655767193159697</v>
      </c>
      <c r="P29" s="203"/>
      <c r="Q29" s="469">
        <f>Q25+Q27</f>
        <v>405830</v>
      </c>
      <c r="R29" s="470">
        <f>R25+R27</f>
        <v>315999</v>
      </c>
      <c r="S29" s="470">
        <f>S25+S27</f>
        <v>-89831</v>
      </c>
      <c r="T29" s="238">
        <f t="shared" si="2"/>
        <v>-0.22135130473350911</v>
      </c>
      <c r="U29" s="203"/>
      <c r="V29" s="469">
        <f>V25+V27</f>
        <v>1625057</v>
      </c>
      <c r="W29" s="470">
        <f>W25+W27</f>
        <v>1149636</v>
      </c>
      <c r="X29" s="470">
        <f>X25+X27</f>
        <v>-475421</v>
      </c>
      <c r="Y29" s="238">
        <f>IF(ISERROR(X29/V29),"-",X29/V29)</f>
        <v>-0.29255650724866883</v>
      </c>
      <c r="Z29" s="179"/>
      <c r="AA29" s="471">
        <f>AA25+AA27</f>
        <v>1623318</v>
      </c>
      <c r="AB29" s="472">
        <f>AA29-W29</f>
        <v>473682</v>
      </c>
      <c r="AC29" s="241">
        <f>IF(ISERROR(AB29/AA29),"-",AB29/AA29)</f>
        <v>0.29179864943282829</v>
      </c>
      <c r="AD29" s="1359"/>
      <c r="AE29" s="930"/>
    </row>
    <row r="30" spans="1:33" x14ac:dyDescent="0.3">
      <c r="A30" s="242"/>
      <c r="B30" s="473"/>
      <c r="C30" s="474"/>
      <c r="D30" s="474"/>
      <c r="E30" s="245"/>
      <c r="F30" s="175"/>
      <c r="G30" s="475"/>
      <c r="H30" s="476"/>
      <c r="I30" s="476"/>
      <c r="J30" s="348"/>
      <c r="K30" s="175"/>
      <c r="L30" s="473"/>
      <c r="M30" s="474"/>
      <c r="N30" s="474"/>
      <c r="O30" s="249"/>
      <c r="P30" s="175"/>
      <c r="Q30" s="475"/>
      <c r="R30" s="476"/>
      <c r="S30" s="476"/>
      <c r="T30" s="250"/>
      <c r="U30" s="175"/>
      <c r="V30" s="459"/>
      <c r="W30" s="460"/>
      <c r="X30" s="474"/>
      <c r="Y30" s="249"/>
      <c r="Z30" s="179"/>
      <c r="AA30" s="459"/>
      <c r="AB30" s="474"/>
      <c r="AC30" s="249"/>
      <c r="AD30" s="933"/>
      <c r="AE30" s="928"/>
    </row>
    <row r="31" spans="1:33" x14ac:dyDescent="0.3">
      <c r="A31" s="172" t="s">
        <v>76</v>
      </c>
      <c r="B31" s="450"/>
      <c r="C31" s="451"/>
      <c r="D31" s="451"/>
      <c r="E31" s="251"/>
      <c r="F31" s="184"/>
      <c r="G31" s="463"/>
      <c r="H31" s="464"/>
      <c r="I31" s="464"/>
      <c r="J31" s="349"/>
      <c r="K31" s="184"/>
      <c r="L31" s="450"/>
      <c r="M31" s="451"/>
      <c r="N31" s="451"/>
      <c r="O31" s="225"/>
      <c r="P31" s="184"/>
      <c r="Q31" s="463"/>
      <c r="R31" s="464"/>
      <c r="S31" s="464"/>
      <c r="T31" s="255"/>
      <c r="U31" s="184"/>
      <c r="V31" s="450"/>
      <c r="W31" s="451"/>
      <c r="X31" s="451"/>
      <c r="Y31" s="225"/>
      <c r="Z31" s="188"/>
      <c r="AA31" s="450"/>
      <c r="AB31" s="451"/>
      <c r="AC31" s="225"/>
      <c r="AD31" s="934"/>
      <c r="AE31" s="928"/>
    </row>
    <row r="32" spans="1:33" x14ac:dyDescent="0.3">
      <c r="A32" s="172" t="s">
        <v>77</v>
      </c>
      <c r="B32" s="450"/>
      <c r="C32" s="451"/>
      <c r="D32" s="451"/>
      <c r="E32" s="251"/>
      <c r="F32" s="184"/>
      <c r="G32" s="463"/>
      <c r="H32" s="464"/>
      <c r="I32" s="464"/>
      <c r="J32" s="349"/>
      <c r="K32" s="184"/>
      <c r="L32" s="450"/>
      <c r="M32" s="451"/>
      <c r="N32" s="451"/>
      <c r="O32" s="225"/>
      <c r="P32" s="184"/>
      <c r="Q32" s="463"/>
      <c r="R32" s="464"/>
      <c r="S32" s="464"/>
      <c r="T32" s="255"/>
      <c r="U32" s="184"/>
      <c r="V32" s="450"/>
      <c r="W32" s="451"/>
      <c r="X32" s="451"/>
      <c r="Y32" s="225"/>
      <c r="Z32" s="188"/>
      <c r="AA32" s="450"/>
      <c r="AB32" s="451"/>
      <c r="AC32" s="225"/>
      <c r="AD32" s="934"/>
      <c r="AE32" s="928"/>
    </row>
    <row r="33" spans="1:31" x14ac:dyDescent="0.3">
      <c r="A33" s="190" t="s">
        <v>78</v>
      </c>
      <c r="B33" s="450">
        <v>204970</v>
      </c>
      <c r="C33" s="451">
        <v>194821</v>
      </c>
      <c r="D33" s="452">
        <f t="shared" ref="D33:D40" si="13">C33-B33</f>
        <v>-10149</v>
      </c>
      <c r="E33" s="220">
        <f t="shared" ref="E33:E41" si="14">IF(ISERROR(D33/B33),"-",D33/B33)</f>
        <v>-4.9514563106796118E-2</v>
      </c>
      <c r="F33" s="191"/>
      <c r="G33" s="463">
        <v>204970</v>
      </c>
      <c r="H33" s="464">
        <v>191338</v>
      </c>
      <c r="I33" s="452">
        <f t="shared" ref="I33:I40" si="15">H33-G33</f>
        <v>-13632</v>
      </c>
      <c r="J33" s="345">
        <f t="shared" ref="J33:J41" si="16">IF(ISERROR(I33/G33),"-",I33/G33)</f>
        <v>-6.6507293750304924E-2</v>
      </c>
      <c r="K33" s="191"/>
      <c r="L33" s="450">
        <v>204970</v>
      </c>
      <c r="M33" s="451">
        <v>191338</v>
      </c>
      <c r="N33" s="452">
        <f t="shared" ref="N33:N40" si="17">M33-L33</f>
        <v>-13632</v>
      </c>
      <c r="O33" s="222">
        <f t="shared" ref="O33:O41" si="18">IF(ISERROR(N33/L33),"-",N33/L33)</f>
        <v>-6.6507293750304924E-2</v>
      </c>
      <c r="P33" s="191"/>
      <c r="Q33" s="463">
        <v>204970</v>
      </c>
      <c r="R33" s="464">
        <v>191339</v>
      </c>
      <c r="S33" s="452">
        <f t="shared" ref="S33:S40" si="19">R33-Q33</f>
        <v>-13631</v>
      </c>
      <c r="T33" s="223">
        <f t="shared" ref="T33:T41" si="20">IF(ISERROR(S33/Q33),"-",S33/Q33)</f>
        <v>-6.6502414987559155E-2</v>
      </c>
      <c r="U33" s="191"/>
      <c r="V33" s="450">
        <f>B33+G33+L33+Q33</f>
        <v>819880</v>
      </c>
      <c r="W33" s="451">
        <f>C33+H33+M33+R33</f>
        <v>768836</v>
      </c>
      <c r="X33" s="452">
        <f>W33-V33</f>
        <v>-51044</v>
      </c>
      <c r="Y33" s="222">
        <f t="shared" ref="Y33:Y41" si="21">IF(ISERROR(X33/V33),"-",X33/V33)</f>
        <v>-6.2257891398741279E-2</v>
      </c>
      <c r="Z33" s="1352"/>
      <c r="AA33" s="642">
        <v>819880</v>
      </c>
      <c r="AB33" s="451">
        <f>AA33-W33</f>
        <v>51044</v>
      </c>
      <c r="AC33" s="222">
        <f t="shared" ref="AC33:AC41" si="22">IF(ISERROR(AB33/AA33),"-",AB33/AA33)</f>
        <v>6.2257891398741279E-2</v>
      </c>
      <c r="AD33" s="935"/>
      <c r="AE33" s="929"/>
    </row>
    <row r="34" spans="1:31" x14ac:dyDescent="0.3">
      <c r="A34" s="190" t="s">
        <v>79</v>
      </c>
      <c r="B34" s="450">
        <v>3000</v>
      </c>
      <c r="C34" s="451">
        <v>3000</v>
      </c>
      <c r="D34" s="452">
        <f t="shared" si="13"/>
        <v>0</v>
      </c>
      <c r="E34" s="220">
        <f t="shared" si="14"/>
        <v>0</v>
      </c>
      <c r="F34" s="191"/>
      <c r="G34" s="463">
        <v>3000</v>
      </c>
      <c r="H34" s="464">
        <v>3500</v>
      </c>
      <c r="I34" s="452">
        <f t="shared" si="15"/>
        <v>500</v>
      </c>
      <c r="J34" s="345">
        <f t="shared" si="16"/>
        <v>0.16666666666666666</v>
      </c>
      <c r="K34" s="191"/>
      <c r="L34" s="450">
        <v>3000</v>
      </c>
      <c r="M34" s="451">
        <v>6000</v>
      </c>
      <c r="N34" s="452">
        <f t="shared" si="17"/>
        <v>3000</v>
      </c>
      <c r="O34" s="222">
        <f t="shared" si="18"/>
        <v>1</v>
      </c>
      <c r="P34" s="191"/>
      <c r="Q34" s="463">
        <v>3000</v>
      </c>
      <c r="R34" s="464">
        <v>4000</v>
      </c>
      <c r="S34" s="452">
        <f t="shared" si="19"/>
        <v>1000</v>
      </c>
      <c r="T34" s="223">
        <f t="shared" si="20"/>
        <v>0.33333333333333331</v>
      </c>
      <c r="U34" s="191"/>
      <c r="V34" s="450">
        <f t="shared" ref="V34:V40" si="23">B34+G34+L34+Q34</f>
        <v>12000</v>
      </c>
      <c r="W34" s="451">
        <f t="shared" ref="W34:W40" si="24">C34+H34+M34+R34</f>
        <v>16500</v>
      </c>
      <c r="X34" s="452">
        <f t="shared" ref="X34:X40" si="25">W34-V34</f>
        <v>4500</v>
      </c>
      <c r="Y34" s="222">
        <f t="shared" si="21"/>
        <v>0.375</v>
      </c>
      <c r="Z34" s="1352"/>
      <c r="AA34" s="642">
        <v>12000</v>
      </c>
      <c r="AB34" s="451">
        <f t="shared" ref="AB34:AB40" si="26">AA34-W34</f>
        <v>-4500</v>
      </c>
      <c r="AC34" s="222">
        <f t="shared" si="22"/>
        <v>-0.375</v>
      </c>
      <c r="AD34" s="935"/>
      <c r="AE34" s="1120" t="s">
        <v>208</v>
      </c>
    </row>
    <row r="35" spans="1:31" x14ac:dyDescent="0.3">
      <c r="A35" s="190" t="s">
        <v>81</v>
      </c>
      <c r="B35" s="450">
        <v>8107</v>
      </c>
      <c r="C35" s="451">
        <v>8196</v>
      </c>
      <c r="D35" s="452">
        <f t="shared" si="13"/>
        <v>89</v>
      </c>
      <c r="E35" s="220">
        <f t="shared" si="14"/>
        <v>1.0978167016158875E-2</v>
      </c>
      <c r="F35" s="191"/>
      <c r="G35" s="463">
        <v>8107</v>
      </c>
      <c r="H35" s="464">
        <v>8018</v>
      </c>
      <c r="I35" s="452">
        <f t="shared" si="15"/>
        <v>-89</v>
      </c>
      <c r="J35" s="345">
        <f t="shared" si="16"/>
        <v>-1.0978167016158875E-2</v>
      </c>
      <c r="K35" s="191"/>
      <c r="L35" s="450">
        <v>8107</v>
      </c>
      <c r="M35" s="451">
        <v>8018</v>
      </c>
      <c r="N35" s="452">
        <f t="shared" si="17"/>
        <v>-89</v>
      </c>
      <c r="O35" s="222">
        <f t="shared" si="18"/>
        <v>-1.0978167016158875E-2</v>
      </c>
      <c r="P35" s="191"/>
      <c r="Q35" s="463">
        <v>8107</v>
      </c>
      <c r="R35" s="464">
        <v>8196.2000000000007</v>
      </c>
      <c r="S35" s="452">
        <f t="shared" si="19"/>
        <v>89.200000000000728</v>
      </c>
      <c r="T35" s="223">
        <f t="shared" si="20"/>
        <v>1.1002837054397524E-2</v>
      </c>
      <c r="U35" s="191"/>
      <c r="V35" s="450">
        <f>B35+G35+L35+Q35</f>
        <v>32428</v>
      </c>
      <c r="W35" s="451">
        <f t="shared" si="24"/>
        <v>32428.2</v>
      </c>
      <c r="X35" s="452">
        <f t="shared" si="25"/>
        <v>0.2000000000007276</v>
      </c>
      <c r="Y35" s="222">
        <f t="shared" si="21"/>
        <v>6.1675095596622547E-6</v>
      </c>
      <c r="Z35" s="1352"/>
      <c r="AA35" s="642">
        <v>32428</v>
      </c>
      <c r="AB35" s="451">
        <f t="shared" si="26"/>
        <v>-0.2000000000007276</v>
      </c>
      <c r="AC35" s="222">
        <f t="shared" si="22"/>
        <v>-6.1675095596622547E-6</v>
      </c>
      <c r="AD35" s="935"/>
      <c r="AE35" s="929"/>
    </row>
    <row r="36" spans="1:31" x14ac:dyDescent="0.3">
      <c r="A36" s="190" t="s">
        <v>106</v>
      </c>
      <c r="B36" s="450">
        <v>7992</v>
      </c>
      <c r="C36" s="451">
        <v>7331</v>
      </c>
      <c r="D36" s="452">
        <f t="shared" si="13"/>
        <v>-661</v>
      </c>
      <c r="E36" s="220">
        <f t="shared" si="14"/>
        <v>-8.2707707707707703E-2</v>
      </c>
      <c r="F36" s="256"/>
      <c r="G36" s="463">
        <v>7992</v>
      </c>
      <c r="H36" s="464">
        <v>7685</v>
      </c>
      <c r="I36" s="452">
        <f t="shared" si="15"/>
        <v>-307</v>
      </c>
      <c r="J36" s="345">
        <f t="shared" si="16"/>
        <v>-3.8413413413413415E-2</v>
      </c>
      <c r="K36" s="256"/>
      <c r="L36" s="450">
        <v>7992</v>
      </c>
      <c r="M36" s="451">
        <v>7685</v>
      </c>
      <c r="N36" s="452">
        <f t="shared" si="17"/>
        <v>-307</v>
      </c>
      <c r="O36" s="222">
        <f t="shared" si="18"/>
        <v>-3.8413413413413415E-2</v>
      </c>
      <c r="P36" s="256"/>
      <c r="Q36" s="463">
        <v>7990</v>
      </c>
      <c r="R36" s="464">
        <v>7939.39</v>
      </c>
      <c r="S36" s="452">
        <f t="shared" si="19"/>
        <v>-50.609999999999673</v>
      </c>
      <c r="T36" s="223">
        <f t="shared" si="20"/>
        <v>-6.3341677096370053E-3</v>
      </c>
      <c r="U36" s="256"/>
      <c r="V36" s="450">
        <f t="shared" si="23"/>
        <v>31966</v>
      </c>
      <c r="W36" s="451">
        <f t="shared" si="24"/>
        <v>30640.39</v>
      </c>
      <c r="X36" s="452">
        <f t="shared" si="25"/>
        <v>-1325.6100000000006</v>
      </c>
      <c r="Y36" s="222">
        <f t="shared" si="21"/>
        <v>-4.146937370956643E-2</v>
      </c>
      <c r="Z36" s="1354"/>
      <c r="AA36" s="642">
        <v>31966</v>
      </c>
      <c r="AB36" s="451">
        <f t="shared" si="26"/>
        <v>1325.6100000000006</v>
      </c>
      <c r="AC36" s="222">
        <f t="shared" si="22"/>
        <v>4.146937370956643E-2</v>
      </c>
      <c r="AD36" s="937"/>
      <c r="AE36" s="928"/>
    </row>
    <row r="37" spans="1:31" x14ac:dyDescent="0.3">
      <c r="A37" s="190" t="s">
        <v>80</v>
      </c>
      <c r="B37" s="450">
        <v>900</v>
      </c>
      <c r="C37" s="451">
        <v>900</v>
      </c>
      <c r="D37" s="452">
        <f t="shared" si="13"/>
        <v>0</v>
      </c>
      <c r="E37" s="220">
        <f t="shared" si="14"/>
        <v>0</v>
      </c>
      <c r="F37" s="256"/>
      <c r="G37" s="463">
        <v>900</v>
      </c>
      <c r="H37" s="464">
        <v>900</v>
      </c>
      <c r="I37" s="452">
        <f t="shared" si="15"/>
        <v>0</v>
      </c>
      <c r="J37" s="345">
        <f t="shared" si="16"/>
        <v>0</v>
      </c>
      <c r="K37" s="256"/>
      <c r="L37" s="450">
        <v>900</v>
      </c>
      <c r="M37" s="451">
        <v>900</v>
      </c>
      <c r="N37" s="452">
        <f t="shared" si="17"/>
        <v>0</v>
      </c>
      <c r="O37" s="222">
        <f t="shared" si="18"/>
        <v>0</v>
      </c>
      <c r="P37" s="256"/>
      <c r="Q37" s="463">
        <v>900</v>
      </c>
      <c r="R37" s="464">
        <v>900</v>
      </c>
      <c r="S37" s="452">
        <f t="shared" si="19"/>
        <v>0</v>
      </c>
      <c r="T37" s="223">
        <f t="shared" si="20"/>
        <v>0</v>
      </c>
      <c r="U37" s="256"/>
      <c r="V37" s="450">
        <f t="shared" si="23"/>
        <v>3600</v>
      </c>
      <c r="W37" s="451">
        <f t="shared" si="24"/>
        <v>3600</v>
      </c>
      <c r="X37" s="452">
        <f t="shared" si="25"/>
        <v>0</v>
      </c>
      <c r="Y37" s="222">
        <f t="shared" si="21"/>
        <v>0</v>
      </c>
      <c r="Z37" s="1354"/>
      <c r="AA37" s="642">
        <v>3600</v>
      </c>
      <c r="AB37" s="451">
        <f t="shared" si="26"/>
        <v>0</v>
      </c>
      <c r="AC37" s="222">
        <f t="shared" si="22"/>
        <v>0</v>
      </c>
      <c r="AD37" s="937"/>
      <c r="AE37" s="928"/>
    </row>
    <row r="38" spans="1:31" x14ac:dyDescent="0.3">
      <c r="A38" s="190" t="s">
        <v>130</v>
      </c>
      <c r="B38" s="450">
        <v>10395</v>
      </c>
      <c r="C38" s="451">
        <v>10656</v>
      </c>
      <c r="D38" s="452">
        <f t="shared" si="13"/>
        <v>261</v>
      </c>
      <c r="E38" s="220">
        <f t="shared" si="14"/>
        <v>2.5108225108225107E-2</v>
      </c>
      <c r="F38" s="191"/>
      <c r="G38" s="463">
        <v>10656</v>
      </c>
      <c r="H38" s="464">
        <v>10656</v>
      </c>
      <c r="I38" s="452">
        <f t="shared" si="15"/>
        <v>0</v>
      </c>
      <c r="J38" s="345">
        <f t="shared" si="16"/>
        <v>0</v>
      </c>
      <c r="K38" s="191"/>
      <c r="L38" s="450">
        <v>10656</v>
      </c>
      <c r="M38" s="451">
        <v>10656</v>
      </c>
      <c r="N38" s="452">
        <f t="shared" si="17"/>
        <v>0</v>
      </c>
      <c r="O38" s="222">
        <f t="shared" si="18"/>
        <v>0</v>
      </c>
      <c r="P38" s="191"/>
      <c r="Q38" s="463">
        <v>10395</v>
      </c>
      <c r="R38" s="464">
        <v>10656</v>
      </c>
      <c r="S38" s="452">
        <f t="shared" si="19"/>
        <v>261</v>
      </c>
      <c r="T38" s="223">
        <f t="shared" si="20"/>
        <v>2.5108225108225107E-2</v>
      </c>
      <c r="U38" s="191"/>
      <c r="V38" s="450">
        <f t="shared" si="23"/>
        <v>42102</v>
      </c>
      <c r="W38" s="451">
        <f t="shared" si="24"/>
        <v>42624</v>
      </c>
      <c r="X38" s="452">
        <f t="shared" si="25"/>
        <v>522</v>
      </c>
      <c r="Y38" s="222">
        <f t="shared" si="21"/>
        <v>1.2398460880718255E-2</v>
      </c>
      <c r="Z38" s="1352"/>
      <c r="AA38" s="642">
        <v>41580</v>
      </c>
      <c r="AB38" s="451">
        <f t="shared" si="26"/>
        <v>-1044</v>
      </c>
      <c r="AC38" s="222">
        <f t="shared" si="22"/>
        <v>-2.5108225108225107E-2</v>
      </c>
      <c r="AD38" s="935"/>
      <c r="AE38" s="929"/>
    </row>
    <row r="39" spans="1:31" x14ac:dyDescent="0.3">
      <c r="A39" s="1299" t="s">
        <v>129</v>
      </c>
      <c r="B39" s="642">
        <v>0</v>
      </c>
      <c r="C39" s="451">
        <v>0</v>
      </c>
      <c r="D39" s="452">
        <f t="shared" si="13"/>
        <v>0</v>
      </c>
      <c r="E39" s="220" t="str">
        <f t="shared" si="14"/>
        <v>-</v>
      </c>
      <c r="F39" s="191"/>
      <c r="G39" s="463">
        <v>0</v>
      </c>
      <c r="H39" s="464">
        <v>0</v>
      </c>
      <c r="I39" s="452">
        <f t="shared" si="15"/>
        <v>0</v>
      </c>
      <c r="J39" s="345" t="str">
        <f t="shared" si="16"/>
        <v>-</v>
      </c>
      <c r="K39" s="191"/>
      <c r="L39" s="450">
        <v>0</v>
      </c>
      <c r="M39" s="451">
        <v>0</v>
      </c>
      <c r="N39" s="452">
        <f t="shared" si="17"/>
        <v>0</v>
      </c>
      <c r="O39" s="222" t="str">
        <f t="shared" si="18"/>
        <v>-</v>
      </c>
      <c r="P39" s="191"/>
      <c r="Q39" s="463">
        <v>0</v>
      </c>
      <c r="R39" s="464">
        <v>0</v>
      </c>
      <c r="S39" s="452">
        <f t="shared" si="19"/>
        <v>0</v>
      </c>
      <c r="T39" s="223" t="str">
        <f t="shared" si="20"/>
        <v>-</v>
      </c>
      <c r="U39" s="191"/>
      <c r="V39" s="450">
        <f t="shared" si="23"/>
        <v>0</v>
      </c>
      <c r="W39" s="451">
        <f t="shared" si="24"/>
        <v>0</v>
      </c>
      <c r="X39" s="452">
        <f t="shared" si="25"/>
        <v>0</v>
      </c>
      <c r="Y39" s="222" t="str">
        <f t="shared" si="21"/>
        <v>-</v>
      </c>
      <c r="Z39" s="1352"/>
      <c r="AA39" s="642">
        <v>0</v>
      </c>
      <c r="AB39" s="451">
        <f t="shared" si="26"/>
        <v>0</v>
      </c>
      <c r="AC39" s="222" t="str">
        <f t="shared" si="22"/>
        <v>-</v>
      </c>
      <c r="AD39" s="935"/>
      <c r="AE39" s="929"/>
    </row>
    <row r="40" spans="1:31" x14ac:dyDescent="0.3">
      <c r="A40" s="258" t="s">
        <v>40</v>
      </c>
      <c r="B40" s="477">
        <v>0</v>
      </c>
      <c r="C40" s="478">
        <v>0</v>
      </c>
      <c r="D40" s="452">
        <f t="shared" si="13"/>
        <v>0</v>
      </c>
      <c r="E40" s="259" t="str">
        <f t="shared" si="14"/>
        <v>-</v>
      </c>
      <c r="F40" s="184"/>
      <c r="G40" s="463">
        <v>0</v>
      </c>
      <c r="H40" s="464">
        <v>0</v>
      </c>
      <c r="I40" s="452">
        <f t="shared" si="15"/>
        <v>0</v>
      </c>
      <c r="J40" s="350" t="str">
        <f t="shared" si="16"/>
        <v>-</v>
      </c>
      <c r="K40" s="184"/>
      <c r="L40" s="450">
        <v>0</v>
      </c>
      <c r="M40" s="451">
        <v>0</v>
      </c>
      <c r="N40" s="452">
        <f t="shared" si="17"/>
        <v>0</v>
      </c>
      <c r="O40" s="261" t="str">
        <f t="shared" si="18"/>
        <v>-</v>
      </c>
      <c r="P40" s="184"/>
      <c r="Q40" s="463">
        <v>0</v>
      </c>
      <c r="R40" s="464">
        <v>0</v>
      </c>
      <c r="S40" s="452">
        <f t="shared" si="19"/>
        <v>0</v>
      </c>
      <c r="T40" s="234" t="str">
        <f t="shared" si="20"/>
        <v>-</v>
      </c>
      <c r="U40" s="184"/>
      <c r="V40" s="450">
        <f t="shared" si="23"/>
        <v>0</v>
      </c>
      <c r="W40" s="451">
        <f t="shared" si="24"/>
        <v>0</v>
      </c>
      <c r="X40" s="452">
        <f t="shared" si="25"/>
        <v>0</v>
      </c>
      <c r="Y40" s="261" t="str">
        <f t="shared" si="21"/>
        <v>-</v>
      </c>
      <c r="Z40" s="1352"/>
      <c r="AA40" s="642">
        <v>0</v>
      </c>
      <c r="AB40" s="478">
        <f t="shared" si="26"/>
        <v>0</v>
      </c>
      <c r="AC40" s="222" t="str">
        <f t="shared" si="22"/>
        <v>-</v>
      </c>
      <c r="AD40" s="934"/>
      <c r="AE40" s="929"/>
    </row>
    <row r="41" spans="1:31" x14ac:dyDescent="0.3">
      <c r="A41" s="199" t="s">
        <v>83</v>
      </c>
      <c r="B41" s="469">
        <f>SUM(B33:B40)</f>
        <v>235364</v>
      </c>
      <c r="C41" s="470">
        <f>SUM(C33:C40)</f>
        <v>224904</v>
      </c>
      <c r="D41" s="470">
        <f>SUM(D33:D40)</f>
        <v>-10460</v>
      </c>
      <c r="E41" s="237">
        <f t="shared" si="14"/>
        <v>-4.4441800785166803E-2</v>
      </c>
      <c r="F41" s="191"/>
      <c r="G41" s="469">
        <f>SUM(G33:G40)</f>
        <v>235625</v>
      </c>
      <c r="H41" s="470">
        <f>SUM(H33:H40)</f>
        <v>222097</v>
      </c>
      <c r="I41" s="470">
        <f>SUM(I33:I40)</f>
        <v>-13528</v>
      </c>
      <c r="J41" s="347">
        <f t="shared" si="16"/>
        <v>-5.7413262599469495E-2</v>
      </c>
      <c r="K41" s="191"/>
      <c r="L41" s="469">
        <f>SUM(L33:L40)</f>
        <v>235625</v>
      </c>
      <c r="M41" s="470">
        <f>SUM(M33:M40)</f>
        <v>224597</v>
      </c>
      <c r="N41" s="470">
        <f>SUM(N33:N40)</f>
        <v>-11028</v>
      </c>
      <c r="O41" s="238">
        <f t="shared" si="18"/>
        <v>-4.680318302387268E-2</v>
      </c>
      <c r="P41" s="191"/>
      <c r="Q41" s="469">
        <f>SUM(Q33:Q40)</f>
        <v>235362</v>
      </c>
      <c r="R41" s="470">
        <f>SUM(R33:R40)</f>
        <v>223030.59000000003</v>
      </c>
      <c r="S41" s="470">
        <f>SUM(S33:S40)</f>
        <v>-12331.41</v>
      </c>
      <c r="T41" s="238">
        <f t="shared" si="20"/>
        <v>-5.2393377010732406E-2</v>
      </c>
      <c r="U41" s="191"/>
      <c r="V41" s="469">
        <f>SUM(V33:V40)</f>
        <v>941976</v>
      </c>
      <c r="W41" s="470">
        <f>SUM(W33:W40)</f>
        <v>894628.59</v>
      </c>
      <c r="X41" s="470">
        <f>SUM(X33:X40)</f>
        <v>-47347.41</v>
      </c>
      <c r="Y41" s="238">
        <f t="shared" si="21"/>
        <v>-5.0263923921628581E-2</v>
      </c>
      <c r="Z41" s="1352"/>
      <c r="AA41" s="1353">
        <f>SUM(AA33:AA40)</f>
        <v>941454</v>
      </c>
      <c r="AB41" s="472">
        <f>SUM(AB33:AB40)</f>
        <v>46825.41</v>
      </c>
      <c r="AC41" s="264">
        <f t="shared" si="22"/>
        <v>4.9737331829276844E-2</v>
      </c>
      <c r="AD41" s="935"/>
      <c r="AE41" s="930"/>
    </row>
    <row r="42" spans="1:31" x14ac:dyDescent="0.3">
      <c r="A42" s="242"/>
      <c r="B42" s="459"/>
      <c r="C42" s="460"/>
      <c r="D42" s="460"/>
      <c r="E42" s="213"/>
      <c r="F42" s="184"/>
      <c r="G42" s="461"/>
      <c r="H42" s="462"/>
      <c r="I42" s="462"/>
      <c r="J42" s="344"/>
      <c r="K42" s="184"/>
      <c r="L42" s="459"/>
      <c r="M42" s="460"/>
      <c r="N42" s="460"/>
      <c r="O42" s="217"/>
      <c r="P42" s="184"/>
      <c r="Q42" s="461"/>
      <c r="R42" s="462"/>
      <c r="S42" s="462"/>
      <c r="T42" s="265"/>
      <c r="U42" s="184"/>
      <c r="V42" s="459"/>
      <c r="W42" s="460"/>
      <c r="X42" s="460"/>
      <c r="Y42" s="217"/>
      <c r="Z42" s="188"/>
      <c r="AA42" s="459"/>
      <c r="AB42" s="460"/>
      <c r="AC42" s="217"/>
      <c r="AD42" s="934"/>
      <c r="AE42" s="928"/>
    </row>
    <row r="43" spans="1:31" x14ac:dyDescent="0.3">
      <c r="A43" s="172" t="s">
        <v>84</v>
      </c>
      <c r="B43" s="481"/>
      <c r="C43" s="482"/>
      <c r="D43" s="482"/>
      <c r="E43" s="268"/>
      <c r="F43" s="175"/>
      <c r="G43" s="483"/>
      <c r="H43" s="484"/>
      <c r="I43" s="484"/>
      <c r="J43" s="351"/>
      <c r="K43" s="175"/>
      <c r="L43" s="481"/>
      <c r="M43" s="482"/>
      <c r="N43" s="482"/>
      <c r="O43" s="272"/>
      <c r="P43" s="175"/>
      <c r="Q43" s="483"/>
      <c r="R43" s="484"/>
      <c r="S43" s="484"/>
      <c r="T43" s="273"/>
      <c r="U43" s="175"/>
      <c r="V43" s="481"/>
      <c r="W43" s="482"/>
      <c r="X43" s="451"/>
      <c r="Y43" s="225"/>
      <c r="Z43" s="179"/>
      <c r="AA43" s="481"/>
      <c r="AB43" s="451"/>
      <c r="AC43" s="225"/>
      <c r="AD43" s="933"/>
      <c r="AE43" s="928"/>
    </row>
    <row r="44" spans="1:31" x14ac:dyDescent="0.3">
      <c r="A44" s="190" t="s">
        <v>85</v>
      </c>
      <c r="B44" s="1252">
        <v>875</v>
      </c>
      <c r="C44" s="1253">
        <v>2133</v>
      </c>
      <c r="D44" s="452">
        <f t="shared" ref="D44:D75" si="27">C44-B44</f>
        <v>1258</v>
      </c>
      <c r="E44" s="220">
        <f t="shared" ref="E44:E75" si="28">IF(ISERROR(D44/B44),"-",D44/B44)</f>
        <v>1.4377142857142857</v>
      </c>
      <c r="F44" s="935"/>
      <c r="G44" s="1255">
        <v>875</v>
      </c>
      <c r="H44" s="1256">
        <v>0</v>
      </c>
      <c r="I44" s="452">
        <f t="shared" ref="I44:I75" si="29">H44-G44</f>
        <v>-875</v>
      </c>
      <c r="J44" s="345">
        <f t="shared" ref="J44:J75" si="30">IF(ISERROR(I44/G44),"-",I44/G44)</f>
        <v>-1</v>
      </c>
      <c r="K44" s="191"/>
      <c r="L44" s="450">
        <v>875</v>
      </c>
      <c r="M44" s="451">
        <v>0</v>
      </c>
      <c r="N44" s="452">
        <f t="shared" ref="N44:N75" si="31">M44-L44</f>
        <v>-875</v>
      </c>
      <c r="O44" s="222">
        <f t="shared" ref="O44:O72" si="32">IF(ISERROR(N44/L44),"-",N44/L44)</f>
        <v>-1</v>
      </c>
      <c r="P44" s="935"/>
      <c r="Q44" s="1255">
        <v>875</v>
      </c>
      <c r="R44" s="1256">
        <v>0</v>
      </c>
      <c r="S44" s="452">
        <f t="shared" ref="S44:S75" si="33">R44-Q44</f>
        <v>-875</v>
      </c>
      <c r="T44" s="223">
        <f t="shared" ref="T44:T72" si="34">IF(ISERROR(S44/Q44),"-",S44/Q44)</f>
        <v>-1</v>
      </c>
      <c r="U44" s="935"/>
      <c r="V44" s="1258">
        <f t="shared" ref="V44:V75" si="35">B44+G44+L44+Q44</f>
        <v>3500</v>
      </c>
      <c r="W44" s="451">
        <f>C44+H44+M44+R44</f>
        <v>2133</v>
      </c>
      <c r="X44" s="452">
        <f>W44-V44</f>
        <v>-1367</v>
      </c>
      <c r="Y44" s="222">
        <f>IF(ISERROR(X44/V44),"-",X44/V44)</f>
        <v>-0.39057142857142857</v>
      </c>
      <c r="Z44" s="1352"/>
      <c r="AA44" s="642">
        <v>3500</v>
      </c>
      <c r="AB44" s="451">
        <f t="shared" ref="AB44:AB75" si="36">AA44-W44</f>
        <v>1367</v>
      </c>
      <c r="AC44" s="222">
        <f t="shared" ref="AC44:AC76" si="37">IF(ISERROR(AB44/AA44),"-",AB44/AA44)</f>
        <v>0.39057142857142857</v>
      </c>
      <c r="AD44" s="935"/>
      <c r="AE44" s="931"/>
    </row>
    <row r="45" spans="1:31" x14ac:dyDescent="0.3">
      <c r="A45" s="190" t="s">
        <v>128</v>
      </c>
      <c r="B45" s="1252">
        <v>0</v>
      </c>
      <c r="C45" s="1253">
        <v>0</v>
      </c>
      <c r="D45" s="452">
        <f t="shared" si="27"/>
        <v>0</v>
      </c>
      <c r="E45" s="220" t="str">
        <f>IF(ISERROR(D45/B45),"-",D45/B45)</f>
        <v>-</v>
      </c>
      <c r="F45" s="937"/>
      <c r="G45" s="1255">
        <v>34572</v>
      </c>
      <c r="H45" s="1256">
        <v>0</v>
      </c>
      <c r="I45" s="452">
        <f t="shared" si="29"/>
        <v>-34572</v>
      </c>
      <c r="J45" s="345">
        <f t="shared" si="30"/>
        <v>-1</v>
      </c>
      <c r="K45" s="256"/>
      <c r="L45" s="450">
        <v>34572</v>
      </c>
      <c r="M45" s="451">
        <v>0</v>
      </c>
      <c r="N45" s="452">
        <f t="shared" si="31"/>
        <v>-34572</v>
      </c>
      <c r="O45" s="222">
        <f t="shared" si="32"/>
        <v>-1</v>
      </c>
      <c r="P45" s="937"/>
      <c r="Q45" s="1255">
        <v>0</v>
      </c>
      <c r="R45" s="1256">
        <v>0</v>
      </c>
      <c r="S45" s="452">
        <f t="shared" si="33"/>
        <v>0</v>
      </c>
      <c r="T45" s="223" t="str">
        <f t="shared" si="34"/>
        <v>-</v>
      </c>
      <c r="U45" s="937"/>
      <c r="V45" s="1258">
        <f t="shared" si="35"/>
        <v>69144</v>
      </c>
      <c r="W45" s="451">
        <f t="shared" ref="W45:W46" si="38">C45+H45+M45+R45</f>
        <v>0</v>
      </c>
      <c r="X45" s="452">
        <f t="shared" ref="X45:X75" si="39">W45-V45</f>
        <v>-69144</v>
      </c>
      <c r="Y45" s="222">
        <f t="shared" ref="Y45:Y75" si="40">IF(ISERROR(X45/V45),"-",X45/V45)</f>
        <v>-1</v>
      </c>
      <c r="Z45" s="1354"/>
      <c r="AA45" s="642">
        <v>69144</v>
      </c>
      <c r="AB45" s="451">
        <f t="shared" si="36"/>
        <v>69144</v>
      </c>
      <c r="AC45" s="222">
        <f t="shared" si="37"/>
        <v>1</v>
      </c>
      <c r="AD45" s="937"/>
      <c r="AE45" s="928"/>
    </row>
    <row r="46" spans="1:31" ht="30" x14ac:dyDescent="0.3">
      <c r="A46" s="190" t="s">
        <v>127</v>
      </c>
      <c r="B46" s="1252">
        <v>0</v>
      </c>
      <c r="C46" s="1253">
        <v>0</v>
      </c>
      <c r="D46" s="452">
        <f t="shared" si="27"/>
        <v>0</v>
      </c>
      <c r="E46" s="220" t="str">
        <f t="shared" si="28"/>
        <v>-</v>
      </c>
      <c r="F46" s="937"/>
      <c r="G46" s="1255">
        <v>0</v>
      </c>
      <c r="H46" s="1256">
        <v>0</v>
      </c>
      <c r="I46" s="452">
        <f t="shared" si="29"/>
        <v>0</v>
      </c>
      <c r="J46" s="345" t="str">
        <f t="shared" si="30"/>
        <v>-</v>
      </c>
      <c r="K46" s="256"/>
      <c r="L46" s="450">
        <v>0</v>
      </c>
      <c r="M46" s="451">
        <v>0</v>
      </c>
      <c r="N46" s="452">
        <f t="shared" si="31"/>
        <v>0</v>
      </c>
      <c r="O46" s="222" t="str">
        <f t="shared" si="32"/>
        <v>-</v>
      </c>
      <c r="P46" s="937"/>
      <c r="Q46" s="1255">
        <v>112408</v>
      </c>
      <c r="R46" s="1256">
        <v>217984.62</v>
      </c>
      <c r="S46" s="452">
        <f t="shared" si="33"/>
        <v>105576.62</v>
      </c>
      <c r="T46" s="223">
        <f t="shared" si="34"/>
        <v>0.93922692335065117</v>
      </c>
      <c r="U46" s="937"/>
      <c r="V46" s="1258">
        <f t="shared" si="35"/>
        <v>112408</v>
      </c>
      <c r="W46" s="451">
        <f t="shared" si="38"/>
        <v>217984.62</v>
      </c>
      <c r="X46" s="452">
        <f t="shared" si="39"/>
        <v>105576.62</v>
      </c>
      <c r="Y46" s="222">
        <f t="shared" si="40"/>
        <v>0.93922692335065117</v>
      </c>
      <c r="Z46" s="1354"/>
      <c r="AA46" s="642">
        <v>112408</v>
      </c>
      <c r="AB46" s="451">
        <f t="shared" si="36"/>
        <v>-105576.62</v>
      </c>
      <c r="AC46" s="222">
        <f t="shared" si="37"/>
        <v>-0.93922692335065117</v>
      </c>
      <c r="AD46" s="937"/>
      <c r="AE46" s="1119" t="s">
        <v>238</v>
      </c>
    </row>
    <row r="47" spans="1:31" x14ac:dyDescent="0.3">
      <c r="A47" s="190" t="s">
        <v>86</v>
      </c>
      <c r="B47" s="1252">
        <v>375</v>
      </c>
      <c r="C47" s="1253">
        <v>149</v>
      </c>
      <c r="D47" s="452">
        <f t="shared" si="27"/>
        <v>-226</v>
      </c>
      <c r="E47" s="220">
        <f t="shared" si="28"/>
        <v>-0.60266666666666668</v>
      </c>
      <c r="F47" s="937"/>
      <c r="G47" s="1255">
        <v>375</v>
      </c>
      <c r="H47" s="1256">
        <v>447</v>
      </c>
      <c r="I47" s="452">
        <f t="shared" si="29"/>
        <v>72</v>
      </c>
      <c r="J47" s="345">
        <f t="shared" si="30"/>
        <v>0.192</v>
      </c>
      <c r="K47" s="256"/>
      <c r="L47" s="450">
        <v>375</v>
      </c>
      <c r="M47" s="451">
        <v>293</v>
      </c>
      <c r="N47" s="452">
        <f t="shared" si="31"/>
        <v>-82</v>
      </c>
      <c r="O47" s="222">
        <f t="shared" si="32"/>
        <v>-0.21866666666666668</v>
      </c>
      <c r="P47" s="937"/>
      <c r="Q47" s="1255">
        <v>375</v>
      </c>
      <c r="R47" s="1256">
        <v>148.5</v>
      </c>
      <c r="S47" s="452">
        <f t="shared" si="33"/>
        <v>-226.5</v>
      </c>
      <c r="T47" s="223">
        <f t="shared" si="34"/>
        <v>-0.60399999999999998</v>
      </c>
      <c r="U47" s="937"/>
      <c r="V47" s="1258">
        <f t="shared" si="35"/>
        <v>1500</v>
      </c>
      <c r="W47" s="451">
        <f t="shared" ref="W47:W75" si="41">C47+H47+M47+R47</f>
        <v>1037.5</v>
      </c>
      <c r="X47" s="452">
        <f t="shared" si="39"/>
        <v>-462.5</v>
      </c>
      <c r="Y47" s="222">
        <f t="shared" si="40"/>
        <v>-0.30833333333333335</v>
      </c>
      <c r="Z47" s="1354"/>
      <c r="AA47" s="642">
        <v>1500</v>
      </c>
      <c r="AB47" s="451">
        <f t="shared" si="36"/>
        <v>462.5</v>
      </c>
      <c r="AC47" s="222">
        <f t="shared" si="37"/>
        <v>0.30833333333333335</v>
      </c>
      <c r="AD47" s="937"/>
      <c r="AE47" s="931"/>
    </row>
    <row r="48" spans="1:31" x14ac:dyDescent="0.3">
      <c r="A48" s="190" t="s">
        <v>87</v>
      </c>
      <c r="B48" s="1252">
        <v>0</v>
      </c>
      <c r="C48" s="1253">
        <v>0</v>
      </c>
      <c r="D48" s="452">
        <f t="shared" si="27"/>
        <v>0</v>
      </c>
      <c r="E48" s="220" t="str">
        <f t="shared" si="28"/>
        <v>-</v>
      </c>
      <c r="F48" s="937"/>
      <c r="G48" s="1255">
        <v>0</v>
      </c>
      <c r="H48" s="1256">
        <v>0</v>
      </c>
      <c r="I48" s="452">
        <f t="shared" si="29"/>
        <v>0</v>
      </c>
      <c r="J48" s="345" t="str">
        <f t="shared" si="30"/>
        <v>-</v>
      </c>
      <c r="K48" s="256"/>
      <c r="L48" s="450">
        <v>0</v>
      </c>
      <c r="M48" s="451">
        <v>0</v>
      </c>
      <c r="N48" s="452">
        <f t="shared" si="31"/>
        <v>0</v>
      </c>
      <c r="O48" s="222" t="str">
        <f t="shared" si="32"/>
        <v>-</v>
      </c>
      <c r="P48" s="937"/>
      <c r="Q48" s="1255">
        <v>0</v>
      </c>
      <c r="R48" s="1256">
        <v>0</v>
      </c>
      <c r="S48" s="452">
        <f t="shared" si="33"/>
        <v>0</v>
      </c>
      <c r="T48" s="223" t="str">
        <f t="shared" si="34"/>
        <v>-</v>
      </c>
      <c r="U48" s="937"/>
      <c r="V48" s="1258">
        <f t="shared" si="35"/>
        <v>0</v>
      </c>
      <c r="W48" s="451">
        <f t="shared" si="41"/>
        <v>0</v>
      </c>
      <c r="X48" s="452">
        <f t="shared" si="39"/>
        <v>0</v>
      </c>
      <c r="Y48" s="222" t="str">
        <f t="shared" si="40"/>
        <v>-</v>
      </c>
      <c r="Z48" s="1354"/>
      <c r="AA48" s="642">
        <v>0</v>
      </c>
      <c r="AB48" s="451">
        <f t="shared" si="36"/>
        <v>0</v>
      </c>
      <c r="AC48" s="222" t="str">
        <f t="shared" si="37"/>
        <v>-</v>
      </c>
      <c r="AD48" s="937"/>
      <c r="AE48" s="928"/>
    </row>
    <row r="49" spans="1:31" x14ac:dyDescent="0.3">
      <c r="A49" s="190" t="s">
        <v>88</v>
      </c>
      <c r="B49" s="1252">
        <v>5777</v>
      </c>
      <c r="C49" s="1253">
        <v>3642</v>
      </c>
      <c r="D49" s="452">
        <f t="shared" si="27"/>
        <v>-2135</v>
      </c>
      <c r="E49" s="220">
        <f t="shared" si="28"/>
        <v>-0.36956898043967457</v>
      </c>
      <c r="F49" s="935"/>
      <c r="G49" s="1255">
        <v>5777</v>
      </c>
      <c r="H49" s="1256">
        <v>3699</v>
      </c>
      <c r="I49" s="452">
        <f t="shared" si="29"/>
        <v>-2078</v>
      </c>
      <c r="J49" s="345">
        <f t="shared" si="30"/>
        <v>-0.35970226761294788</v>
      </c>
      <c r="K49" s="191"/>
      <c r="L49" s="450">
        <v>5777</v>
      </c>
      <c r="M49" s="451">
        <v>3588</v>
      </c>
      <c r="N49" s="452">
        <f t="shared" si="31"/>
        <v>-2189</v>
      </c>
      <c r="O49" s="222">
        <f t="shared" si="32"/>
        <v>-0.37891639259131038</v>
      </c>
      <c r="P49" s="935"/>
      <c r="Q49" s="1255">
        <v>5776</v>
      </c>
      <c r="R49" s="1256">
        <v>2602.1999999999998</v>
      </c>
      <c r="S49" s="452">
        <f t="shared" si="33"/>
        <v>-3173.8</v>
      </c>
      <c r="T49" s="223">
        <f t="shared" si="34"/>
        <v>-0.54948060941828258</v>
      </c>
      <c r="U49" s="935"/>
      <c r="V49" s="1258">
        <f t="shared" si="35"/>
        <v>23107</v>
      </c>
      <c r="W49" s="451">
        <f t="shared" si="41"/>
        <v>13531.2</v>
      </c>
      <c r="X49" s="452">
        <f t="shared" si="39"/>
        <v>-9575.7999999999993</v>
      </c>
      <c r="Y49" s="222">
        <f t="shared" si="40"/>
        <v>-0.41441121738001468</v>
      </c>
      <c r="Z49" s="1352"/>
      <c r="AA49" s="642">
        <v>23107</v>
      </c>
      <c r="AB49" s="451">
        <f t="shared" si="36"/>
        <v>9575.7999999999993</v>
      </c>
      <c r="AC49" s="222">
        <f t="shared" si="37"/>
        <v>0.41441121738001468</v>
      </c>
      <c r="AD49" s="935"/>
      <c r="AE49" s="931"/>
    </row>
    <row r="50" spans="1:31" ht="31.5" x14ac:dyDescent="0.3">
      <c r="A50" s="190" t="s">
        <v>89</v>
      </c>
      <c r="B50" s="1252">
        <v>0</v>
      </c>
      <c r="C50" s="1253">
        <v>0</v>
      </c>
      <c r="D50" s="452">
        <f t="shared" si="27"/>
        <v>0</v>
      </c>
      <c r="E50" s="220" t="str">
        <f t="shared" si="28"/>
        <v>-</v>
      </c>
      <c r="F50" s="935"/>
      <c r="G50" s="1255">
        <v>0</v>
      </c>
      <c r="H50" s="1256">
        <v>0</v>
      </c>
      <c r="I50" s="452">
        <f t="shared" si="29"/>
        <v>0</v>
      </c>
      <c r="J50" s="345" t="str">
        <f t="shared" si="30"/>
        <v>-</v>
      </c>
      <c r="K50" s="191"/>
      <c r="L50" s="450">
        <v>67000</v>
      </c>
      <c r="M50" s="451">
        <v>70263</v>
      </c>
      <c r="N50" s="452">
        <f t="shared" si="31"/>
        <v>3263</v>
      </c>
      <c r="O50" s="222">
        <f t="shared" si="32"/>
        <v>4.8701492537313436E-2</v>
      </c>
      <c r="P50" s="935"/>
      <c r="Q50" s="1255">
        <v>0</v>
      </c>
      <c r="R50" s="1256">
        <v>33045.96</v>
      </c>
      <c r="S50" s="452">
        <f t="shared" si="33"/>
        <v>33045.96</v>
      </c>
      <c r="T50" s="223" t="str">
        <f t="shared" si="34"/>
        <v>-</v>
      </c>
      <c r="U50" s="935"/>
      <c r="V50" s="1258">
        <f t="shared" si="35"/>
        <v>67000</v>
      </c>
      <c r="W50" s="451">
        <f t="shared" si="41"/>
        <v>103308.95999999999</v>
      </c>
      <c r="X50" s="452">
        <f t="shared" si="39"/>
        <v>36308.959999999992</v>
      </c>
      <c r="Y50" s="222">
        <f t="shared" si="40"/>
        <v>0.54192477611940282</v>
      </c>
      <c r="Z50" s="1352"/>
      <c r="AA50" s="642">
        <v>67000</v>
      </c>
      <c r="AB50" s="451">
        <f t="shared" si="36"/>
        <v>-36308.959999999992</v>
      </c>
      <c r="AC50" s="222">
        <f t="shared" si="37"/>
        <v>-0.54192477611940282</v>
      </c>
      <c r="AD50" s="935"/>
      <c r="AE50" s="1140" t="s">
        <v>209</v>
      </c>
    </row>
    <row r="51" spans="1:31" x14ac:dyDescent="0.3">
      <c r="A51" s="190" t="s">
        <v>113</v>
      </c>
      <c r="B51" s="1252">
        <v>20367</v>
      </c>
      <c r="C51" s="1253">
        <v>17995</v>
      </c>
      <c r="D51" s="452">
        <f t="shared" si="27"/>
        <v>-2372</v>
      </c>
      <c r="E51" s="220">
        <f t="shared" si="28"/>
        <v>-0.11646290568075809</v>
      </c>
      <c r="F51" s="935"/>
      <c r="G51" s="1255">
        <v>20367</v>
      </c>
      <c r="H51" s="1256">
        <v>13062</v>
      </c>
      <c r="I51" s="452">
        <f t="shared" si="29"/>
        <v>-7305</v>
      </c>
      <c r="J51" s="345"/>
      <c r="K51" s="191"/>
      <c r="L51" s="450">
        <v>20367</v>
      </c>
      <c r="M51" s="451">
        <v>9343</v>
      </c>
      <c r="N51" s="452">
        <f t="shared" si="31"/>
        <v>-11024</v>
      </c>
      <c r="O51" s="222"/>
      <c r="P51" s="935"/>
      <c r="Q51" s="1255">
        <v>20368</v>
      </c>
      <c r="R51" s="1256">
        <v>5624</v>
      </c>
      <c r="S51" s="452">
        <f t="shared" si="33"/>
        <v>-14744</v>
      </c>
      <c r="T51" s="223"/>
      <c r="U51" s="935"/>
      <c r="V51" s="1258">
        <f t="shared" si="35"/>
        <v>81469</v>
      </c>
      <c r="W51" s="451">
        <f t="shared" si="41"/>
        <v>46024</v>
      </c>
      <c r="X51" s="452">
        <f t="shared" si="39"/>
        <v>-35445</v>
      </c>
      <c r="Y51" s="222">
        <f t="shared" si="40"/>
        <v>-0.43507346352600373</v>
      </c>
      <c r="Z51" s="1352"/>
      <c r="AA51" s="642">
        <v>81469</v>
      </c>
      <c r="AB51" s="451">
        <f t="shared" si="36"/>
        <v>35445</v>
      </c>
      <c r="AC51" s="222">
        <f t="shared" si="37"/>
        <v>0.43507346352600373</v>
      </c>
      <c r="AD51" s="935"/>
      <c r="AE51" s="931"/>
    </row>
    <row r="52" spans="1:31" x14ac:dyDescent="0.3">
      <c r="A52" s="190" t="s">
        <v>126</v>
      </c>
      <c r="B52" s="1252">
        <v>13241</v>
      </c>
      <c r="C52" s="1253">
        <v>15430</v>
      </c>
      <c r="D52" s="452">
        <f t="shared" si="27"/>
        <v>2189</v>
      </c>
      <c r="E52" s="220">
        <f t="shared" si="28"/>
        <v>0.16531983989124688</v>
      </c>
      <c r="F52" s="937"/>
      <c r="G52" s="1255">
        <v>13241</v>
      </c>
      <c r="H52" s="1256">
        <v>15379</v>
      </c>
      <c r="I52" s="452">
        <f t="shared" si="29"/>
        <v>2138</v>
      </c>
      <c r="J52" s="345">
        <f t="shared" si="30"/>
        <v>0.16146816705686881</v>
      </c>
      <c r="K52" s="256"/>
      <c r="L52" s="450">
        <v>13241</v>
      </c>
      <c r="M52" s="451">
        <v>15128</v>
      </c>
      <c r="N52" s="452">
        <f t="shared" si="31"/>
        <v>1887</v>
      </c>
      <c r="O52" s="222">
        <f t="shared" si="32"/>
        <v>0.14251189487198851</v>
      </c>
      <c r="P52" s="937"/>
      <c r="Q52" s="1255">
        <v>13240</v>
      </c>
      <c r="R52" s="1256">
        <v>13919.84</v>
      </c>
      <c r="S52" s="452">
        <f t="shared" si="33"/>
        <v>679.84000000000015</v>
      </c>
      <c r="T52" s="223">
        <f t="shared" si="34"/>
        <v>5.1347432024169193E-2</v>
      </c>
      <c r="U52" s="937"/>
      <c r="V52" s="1258">
        <f t="shared" si="35"/>
        <v>52963</v>
      </c>
      <c r="W52" s="451">
        <f t="shared" si="41"/>
        <v>59856.84</v>
      </c>
      <c r="X52" s="452">
        <f t="shared" si="39"/>
        <v>6893.8399999999965</v>
      </c>
      <c r="Y52" s="222">
        <f t="shared" si="40"/>
        <v>0.13016332156411073</v>
      </c>
      <c r="Z52" s="1354"/>
      <c r="AA52" s="642">
        <v>52963</v>
      </c>
      <c r="AB52" s="451">
        <f t="shared" si="36"/>
        <v>-6893.8399999999965</v>
      </c>
      <c r="AC52" s="222">
        <f t="shared" si="37"/>
        <v>-0.13016332156411073</v>
      </c>
      <c r="AD52" s="937"/>
      <c r="AE52" s="1356"/>
    </row>
    <row r="53" spans="1:31" ht="19.5" thickBot="1" x14ac:dyDescent="0.35">
      <c r="A53" s="190" t="s">
        <v>82</v>
      </c>
      <c r="B53" s="1252">
        <v>29700</v>
      </c>
      <c r="C53" s="1253">
        <v>29700</v>
      </c>
      <c r="D53" s="452">
        <f t="shared" si="27"/>
        <v>0</v>
      </c>
      <c r="E53" s="220">
        <f t="shared" si="28"/>
        <v>0</v>
      </c>
      <c r="F53" s="937"/>
      <c r="G53" s="1255">
        <v>29700</v>
      </c>
      <c r="H53" s="1256">
        <v>27900</v>
      </c>
      <c r="I53" s="452">
        <f t="shared" si="29"/>
        <v>-1800</v>
      </c>
      <c r="J53" s="345">
        <f t="shared" si="30"/>
        <v>-6.0606060606060608E-2</v>
      </c>
      <c r="K53" s="256"/>
      <c r="L53" s="450">
        <v>29700</v>
      </c>
      <c r="M53" s="451">
        <v>27900</v>
      </c>
      <c r="N53" s="452">
        <f t="shared" si="31"/>
        <v>-1800</v>
      </c>
      <c r="O53" s="222">
        <f t="shared" si="32"/>
        <v>-6.0606060606060608E-2</v>
      </c>
      <c r="P53" s="937"/>
      <c r="Q53" s="1255">
        <v>29700</v>
      </c>
      <c r="R53" s="1256">
        <v>29700</v>
      </c>
      <c r="S53" s="452">
        <f t="shared" si="33"/>
        <v>0</v>
      </c>
      <c r="T53" s="223">
        <f t="shared" si="34"/>
        <v>0</v>
      </c>
      <c r="U53" s="937"/>
      <c r="V53" s="1258">
        <f t="shared" si="35"/>
        <v>118800</v>
      </c>
      <c r="W53" s="451">
        <f t="shared" si="41"/>
        <v>115200</v>
      </c>
      <c r="X53" s="452">
        <f t="shared" si="39"/>
        <v>-3600</v>
      </c>
      <c r="Y53" s="222">
        <f t="shared" si="40"/>
        <v>-3.0303030303030304E-2</v>
      </c>
      <c r="Z53" s="1354"/>
      <c r="AA53" s="642">
        <v>118800</v>
      </c>
      <c r="AB53" s="451">
        <f t="shared" si="36"/>
        <v>3600</v>
      </c>
      <c r="AC53" s="222">
        <f t="shared" si="37"/>
        <v>3.0303030303030304E-2</v>
      </c>
      <c r="AD53" s="937"/>
      <c r="AE53" s="929"/>
    </row>
    <row r="54" spans="1:31" x14ac:dyDescent="0.3">
      <c r="A54" s="190" t="s">
        <v>125</v>
      </c>
      <c r="B54" s="1252">
        <v>0</v>
      </c>
      <c r="C54" s="1253">
        <v>0</v>
      </c>
      <c r="D54" s="452">
        <f t="shared" si="27"/>
        <v>0</v>
      </c>
      <c r="E54" s="220" t="str">
        <f t="shared" si="28"/>
        <v>-</v>
      </c>
      <c r="F54" s="937"/>
      <c r="G54" s="1255">
        <v>0</v>
      </c>
      <c r="H54" s="1256">
        <v>0</v>
      </c>
      <c r="I54" s="452">
        <f t="shared" si="29"/>
        <v>0</v>
      </c>
      <c r="J54" s="345" t="str">
        <f t="shared" si="30"/>
        <v>-</v>
      </c>
      <c r="K54" s="256"/>
      <c r="L54" s="450">
        <v>0</v>
      </c>
      <c r="M54" s="451">
        <v>0</v>
      </c>
      <c r="N54" s="452">
        <f t="shared" si="31"/>
        <v>0</v>
      </c>
      <c r="O54" s="222" t="str">
        <f t="shared" si="32"/>
        <v>-</v>
      </c>
      <c r="P54" s="937"/>
      <c r="Q54" s="1255">
        <v>0</v>
      </c>
      <c r="R54" s="1256">
        <v>0</v>
      </c>
      <c r="S54" s="452">
        <f t="shared" si="33"/>
        <v>0</v>
      </c>
      <c r="T54" s="223" t="str">
        <f t="shared" si="34"/>
        <v>-</v>
      </c>
      <c r="U54" s="1349"/>
      <c r="V54" s="1258">
        <f t="shared" si="35"/>
        <v>0</v>
      </c>
      <c r="W54" s="451">
        <f t="shared" si="41"/>
        <v>0</v>
      </c>
      <c r="X54" s="452">
        <f t="shared" si="39"/>
        <v>0</v>
      </c>
      <c r="Y54" s="222" t="str">
        <f t="shared" si="40"/>
        <v>-</v>
      </c>
      <c r="Z54" s="1354"/>
      <c r="AA54" s="642"/>
      <c r="AB54" s="451">
        <f t="shared" si="36"/>
        <v>0</v>
      </c>
      <c r="AC54" s="222" t="str">
        <f t="shared" si="37"/>
        <v>-</v>
      </c>
      <c r="AD54" s="937"/>
      <c r="AE54" s="929"/>
    </row>
    <row r="55" spans="1:31" x14ac:dyDescent="0.3">
      <c r="A55" s="190" t="s">
        <v>90</v>
      </c>
      <c r="B55" s="1252">
        <v>0</v>
      </c>
      <c r="C55" s="1253">
        <v>0</v>
      </c>
      <c r="D55" s="452">
        <f t="shared" si="27"/>
        <v>0</v>
      </c>
      <c r="E55" s="220" t="str">
        <f t="shared" si="28"/>
        <v>-</v>
      </c>
      <c r="F55" s="937"/>
      <c r="G55" s="1255">
        <v>0</v>
      </c>
      <c r="H55" s="1256">
        <v>0</v>
      </c>
      <c r="I55" s="452">
        <f t="shared" si="29"/>
        <v>0</v>
      </c>
      <c r="J55" s="345" t="str">
        <f t="shared" si="30"/>
        <v>-</v>
      </c>
      <c r="K55" s="256"/>
      <c r="L55" s="450">
        <v>0</v>
      </c>
      <c r="M55" s="451">
        <v>0</v>
      </c>
      <c r="N55" s="452">
        <f t="shared" si="31"/>
        <v>0</v>
      </c>
      <c r="O55" s="222" t="str">
        <f t="shared" si="32"/>
        <v>-</v>
      </c>
      <c r="P55" s="937"/>
      <c r="Q55" s="1255">
        <v>0</v>
      </c>
      <c r="R55" s="1256">
        <v>0</v>
      </c>
      <c r="S55" s="452">
        <f t="shared" si="33"/>
        <v>0</v>
      </c>
      <c r="T55" s="223" t="str">
        <f t="shared" si="34"/>
        <v>-</v>
      </c>
      <c r="U55" s="937"/>
      <c r="V55" s="1258">
        <f t="shared" si="35"/>
        <v>0</v>
      </c>
      <c r="W55" s="451">
        <f t="shared" si="41"/>
        <v>0</v>
      </c>
      <c r="X55" s="452">
        <f t="shared" si="39"/>
        <v>0</v>
      </c>
      <c r="Y55" s="222" t="str">
        <f t="shared" si="40"/>
        <v>-</v>
      </c>
      <c r="Z55" s="1354"/>
      <c r="AA55" s="642">
        <v>0</v>
      </c>
      <c r="AB55" s="451">
        <v>0</v>
      </c>
      <c r="AC55" s="222" t="str">
        <f t="shared" si="37"/>
        <v>-</v>
      </c>
      <c r="AD55" s="937"/>
      <c r="AE55" s="929"/>
    </row>
    <row r="56" spans="1:31" x14ac:dyDescent="0.3">
      <c r="A56" s="190" t="s">
        <v>91</v>
      </c>
      <c r="B56" s="1252">
        <v>750</v>
      </c>
      <c r="C56" s="1253">
        <v>2220</v>
      </c>
      <c r="D56" s="452">
        <f t="shared" si="27"/>
        <v>1470</v>
      </c>
      <c r="E56" s="220">
        <f t="shared" si="28"/>
        <v>1.96</v>
      </c>
      <c r="F56" s="937"/>
      <c r="G56" s="1255">
        <v>750</v>
      </c>
      <c r="H56" s="1256">
        <v>750</v>
      </c>
      <c r="I56" s="452">
        <f t="shared" si="29"/>
        <v>0</v>
      </c>
      <c r="J56" s="345">
        <f t="shared" si="30"/>
        <v>0</v>
      </c>
      <c r="K56" s="256"/>
      <c r="L56" s="450">
        <v>750</v>
      </c>
      <c r="M56" s="451">
        <v>750</v>
      </c>
      <c r="N56" s="452">
        <f t="shared" si="31"/>
        <v>0</v>
      </c>
      <c r="O56" s="222">
        <f t="shared" si="32"/>
        <v>0</v>
      </c>
      <c r="P56" s="937"/>
      <c r="Q56" s="1255">
        <v>750</v>
      </c>
      <c r="R56" s="1256">
        <v>848.35</v>
      </c>
      <c r="S56" s="452">
        <f t="shared" si="33"/>
        <v>98.350000000000023</v>
      </c>
      <c r="T56" s="223">
        <f t="shared" si="34"/>
        <v>0.13113333333333335</v>
      </c>
      <c r="U56" s="937"/>
      <c r="V56" s="1258">
        <f t="shared" si="35"/>
        <v>3000</v>
      </c>
      <c r="W56" s="451">
        <f t="shared" si="41"/>
        <v>4568.3500000000004</v>
      </c>
      <c r="X56" s="452">
        <f t="shared" si="39"/>
        <v>1568.3500000000004</v>
      </c>
      <c r="Y56" s="222">
        <f t="shared" si="40"/>
        <v>0.52278333333333349</v>
      </c>
      <c r="Z56" s="1354"/>
      <c r="AA56" s="642">
        <v>3000</v>
      </c>
      <c r="AB56" s="451">
        <f t="shared" si="36"/>
        <v>-1568.3500000000004</v>
      </c>
      <c r="AC56" s="222">
        <f t="shared" si="37"/>
        <v>-0.52278333333333349</v>
      </c>
      <c r="AD56" s="937"/>
      <c r="AE56" s="928"/>
    </row>
    <row r="57" spans="1:31" x14ac:dyDescent="0.3">
      <c r="A57" s="190" t="s">
        <v>92</v>
      </c>
      <c r="B57" s="1252">
        <v>0</v>
      </c>
      <c r="C57" s="1253">
        <v>0</v>
      </c>
      <c r="D57" s="452">
        <f t="shared" si="27"/>
        <v>0</v>
      </c>
      <c r="E57" s="220" t="str">
        <f t="shared" si="28"/>
        <v>-</v>
      </c>
      <c r="F57" s="937"/>
      <c r="G57" s="1255">
        <v>4000</v>
      </c>
      <c r="H57" s="1257">
        <v>3813.75</v>
      </c>
      <c r="I57" s="452">
        <f t="shared" si="29"/>
        <v>-186.25</v>
      </c>
      <c r="J57" s="345">
        <f t="shared" si="30"/>
        <v>-4.65625E-2</v>
      </c>
      <c r="K57" s="256"/>
      <c r="L57" s="450">
        <v>0</v>
      </c>
      <c r="M57" s="451">
        <v>0</v>
      </c>
      <c r="N57" s="452">
        <f t="shared" si="31"/>
        <v>0</v>
      </c>
      <c r="O57" s="222" t="str">
        <f t="shared" si="32"/>
        <v>-</v>
      </c>
      <c r="P57" s="937"/>
      <c r="Q57" s="1255">
        <v>0</v>
      </c>
      <c r="R57" s="1256">
        <v>0</v>
      </c>
      <c r="S57" s="452">
        <f t="shared" si="33"/>
        <v>0</v>
      </c>
      <c r="T57" s="223" t="str">
        <f t="shared" si="34"/>
        <v>-</v>
      </c>
      <c r="U57" s="937"/>
      <c r="V57" s="1258">
        <f t="shared" si="35"/>
        <v>4000</v>
      </c>
      <c r="W57" s="451">
        <f t="shared" si="41"/>
        <v>3813.75</v>
      </c>
      <c r="X57" s="452">
        <f t="shared" si="39"/>
        <v>-186.25</v>
      </c>
      <c r="Y57" s="222">
        <f t="shared" si="40"/>
        <v>-4.65625E-2</v>
      </c>
      <c r="Z57" s="1354"/>
      <c r="AA57" s="642">
        <v>4000</v>
      </c>
      <c r="AB57" s="451">
        <f t="shared" si="36"/>
        <v>186.25</v>
      </c>
      <c r="AC57" s="222">
        <f t="shared" si="37"/>
        <v>4.65625E-2</v>
      </c>
      <c r="AD57" s="937"/>
      <c r="AE57" s="928"/>
    </row>
    <row r="58" spans="1:31" x14ac:dyDescent="0.3">
      <c r="A58" s="190" t="s">
        <v>93</v>
      </c>
      <c r="B58" s="1252">
        <v>0</v>
      </c>
      <c r="C58" s="1253">
        <v>0</v>
      </c>
      <c r="D58" s="452">
        <f t="shared" si="27"/>
        <v>0</v>
      </c>
      <c r="E58" s="220" t="str">
        <f t="shared" si="28"/>
        <v>-</v>
      </c>
      <c r="F58" s="937"/>
      <c r="G58" s="1255">
        <v>0</v>
      </c>
      <c r="H58" s="1256">
        <v>0</v>
      </c>
      <c r="I58" s="452">
        <f t="shared" si="29"/>
        <v>0</v>
      </c>
      <c r="J58" s="345" t="str">
        <f t="shared" si="30"/>
        <v>-</v>
      </c>
      <c r="K58" s="256"/>
      <c r="L58" s="450">
        <v>0</v>
      </c>
      <c r="M58" s="451">
        <v>871</v>
      </c>
      <c r="N58" s="452">
        <f t="shared" si="31"/>
        <v>871</v>
      </c>
      <c r="O58" s="222" t="str">
        <f t="shared" si="32"/>
        <v>-</v>
      </c>
      <c r="P58" s="937"/>
      <c r="Q58" s="1255">
        <v>0</v>
      </c>
      <c r="R58" s="1256">
        <v>200</v>
      </c>
      <c r="S58" s="452">
        <f t="shared" si="33"/>
        <v>200</v>
      </c>
      <c r="T58" s="223" t="str">
        <f t="shared" si="34"/>
        <v>-</v>
      </c>
      <c r="U58" s="937"/>
      <c r="V58" s="1258">
        <f t="shared" si="35"/>
        <v>0</v>
      </c>
      <c r="W58" s="451">
        <f t="shared" si="41"/>
        <v>1071</v>
      </c>
      <c r="X58" s="452">
        <f t="shared" si="39"/>
        <v>1071</v>
      </c>
      <c r="Y58" s="222" t="str">
        <f t="shared" si="40"/>
        <v>-</v>
      </c>
      <c r="Z58" s="1354"/>
      <c r="AA58" s="642">
        <v>0</v>
      </c>
      <c r="AB58" s="451">
        <f t="shared" si="36"/>
        <v>-1071</v>
      </c>
      <c r="AC58" s="222" t="str">
        <f t="shared" si="37"/>
        <v>-</v>
      </c>
      <c r="AD58" s="937"/>
      <c r="AE58" s="929"/>
    </row>
    <row r="59" spans="1:31" x14ac:dyDescent="0.3">
      <c r="A59" s="190" t="s">
        <v>94</v>
      </c>
      <c r="B59" s="1252">
        <v>2700</v>
      </c>
      <c r="C59" s="1253">
        <v>2700</v>
      </c>
      <c r="D59" s="452">
        <f t="shared" si="27"/>
        <v>0</v>
      </c>
      <c r="E59" s="220">
        <f t="shared" si="28"/>
        <v>0</v>
      </c>
      <c r="F59" s="937"/>
      <c r="G59" s="1255">
        <v>2700</v>
      </c>
      <c r="H59" s="1256">
        <v>2820</v>
      </c>
      <c r="I59" s="452">
        <f t="shared" si="29"/>
        <v>120</v>
      </c>
      <c r="J59" s="345">
        <f t="shared" si="30"/>
        <v>4.4444444444444446E-2</v>
      </c>
      <c r="K59" s="256"/>
      <c r="L59" s="450">
        <v>2700</v>
      </c>
      <c r="M59" s="451">
        <v>2470</v>
      </c>
      <c r="N59" s="452">
        <f t="shared" si="31"/>
        <v>-230</v>
      </c>
      <c r="O59" s="222">
        <f t="shared" si="32"/>
        <v>-8.5185185185185183E-2</v>
      </c>
      <c r="P59" s="937"/>
      <c r="Q59" s="1255">
        <v>2700</v>
      </c>
      <c r="R59" s="1256">
        <v>2155.48</v>
      </c>
      <c r="S59" s="452">
        <f t="shared" si="33"/>
        <v>-544.52</v>
      </c>
      <c r="T59" s="223">
        <f t="shared" si="34"/>
        <v>-0.20167407407407406</v>
      </c>
      <c r="U59" s="937"/>
      <c r="V59" s="1258">
        <f t="shared" si="35"/>
        <v>10800</v>
      </c>
      <c r="W59" s="451">
        <f t="shared" si="41"/>
        <v>10145.48</v>
      </c>
      <c r="X59" s="452">
        <f t="shared" si="39"/>
        <v>-654.52000000000044</v>
      </c>
      <c r="Y59" s="222">
        <f t="shared" si="40"/>
        <v>-6.0603703703703743E-2</v>
      </c>
      <c r="Z59" s="1354"/>
      <c r="AA59" s="642">
        <v>10800</v>
      </c>
      <c r="AB59" s="451">
        <f t="shared" si="36"/>
        <v>654.52000000000044</v>
      </c>
      <c r="AC59" s="222">
        <f t="shared" si="37"/>
        <v>6.0603703703703743E-2</v>
      </c>
      <c r="AD59" s="937"/>
      <c r="AE59" s="929"/>
    </row>
    <row r="60" spans="1:31" x14ac:dyDescent="0.3">
      <c r="A60" s="190" t="s">
        <v>95</v>
      </c>
      <c r="B60" s="1252">
        <v>2500</v>
      </c>
      <c r="C60" s="1253">
        <v>360</v>
      </c>
      <c r="D60" s="452">
        <f t="shared" si="27"/>
        <v>-2140</v>
      </c>
      <c r="E60" s="220">
        <f t="shared" si="28"/>
        <v>-0.85599999999999998</v>
      </c>
      <c r="F60" s="935"/>
      <c r="G60" s="1255">
        <v>2500</v>
      </c>
      <c r="H60" s="1256">
        <v>360</v>
      </c>
      <c r="I60" s="452">
        <f t="shared" si="29"/>
        <v>-2140</v>
      </c>
      <c r="J60" s="345">
        <f t="shared" si="30"/>
        <v>-0.85599999999999998</v>
      </c>
      <c r="K60" s="191"/>
      <c r="L60" s="450">
        <v>2500</v>
      </c>
      <c r="M60" s="451">
        <v>360</v>
      </c>
      <c r="N60" s="452">
        <f t="shared" si="31"/>
        <v>-2140</v>
      </c>
      <c r="O60" s="222">
        <f t="shared" si="32"/>
        <v>-0.85599999999999998</v>
      </c>
      <c r="P60" s="935"/>
      <c r="Q60" s="1255">
        <v>2500</v>
      </c>
      <c r="R60" s="1256">
        <v>12614.99</v>
      </c>
      <c r="S60" s="452">
        <f t="shared" si="33"/>
        <v>10114.99</v>
      </c>
      <c r="T60" s="223">
        <f t="shared" si="34"/>
        <v>4.0459959999999997</v>
      </c>
      <c r="U60" s="935"/>
      <c r="V60" s="1258">
        <f t="shared" si="35"/>
        <v>10000</v>
      </c>
      <c r="W60" s="451">
        <f t="shared" si="41"/>
        <v>13694.99</v>
      </c>
      <c r="X60" s="452">
        <f t="shared" si="39"/>
        <v>3694.99</v>
      </c>
      <c r="Y60" s="222">
        <f t="shared" si="40"/>
        <v>0.36949899999999997</v>
      </c>
      <c r="Z60" s="1352"/>
      <c r="AA60" s="642">
        <v>10000</v>
      </c>
      <c r="AB60" s="451">
        <f t="shared" si="36"/>
        <v>-3694.99</v>
      </c>
      <c r="AC60" s="222">
        <f t="shared" si="37"/>
        <v>-0.36949899999999997</v>
      </c>
      <c r="AD60" s="935"/>
      <c r="AE60" s="929"/>
    </row>
    <row r="61" spans="1:31" x14ac:dyDescent="0.3">
      <c r="A61" s="190" t="s">
        <v>96</v>
      </c>
      <c r="B61" s="1252">
        <v>12205</v>
      </c>
      <c r="C61" s="1253">
        <v>11689</v>
      </c>
      <c r="D61" s="452">
        <f t="shared" si="27"/>
        <v>-516</v>
      </c>
      <c r="E61" s="220">
        <f t="shared" si="28"/>
        <v>-4.2277755018435066E-2</v>
      </c>
      <c r="F61" s="935"/>
      <c r="G61" s="1255">
        <v>12205</v>
      </c>
      <c r="H61" s="1256">
        <v>16942</v>
      </c>
      <c r="I61" s="452">
        <f t="shared" si="29"/>
        <v>4737</v>
      </c>
      <c r="J61" s="345">
        <f t="shared" si="30"/>
        <v>0.38811962310528469</v>
      </c>
      <c r="K61" s="191"/>
      <c r="L61" s="450">
        <v>12205</v>
      </c>
      <c r="M61" s="451">
        <v>2929.12</v>
      </c>
      <c r="N61" s="452">
        <f t="shared" si="31"/>
        <v>-9275.880000000001</v>
      </c>
      <c r="O61" s="222">
        <f t="shared" si="32"/>
        <v>-0.76000655469070066</v>
      </c>
      <c r="P61" s="935"/>
      <c r="Q61" s="1255">
        <v>12203</v>
      </c>
      <c r="R61" s="1256">
        <v>10287</v>
      </c>
      <c r="S61" s="452">
        <f t="shared" si="33"/>
        <v>-1916</v>
      </c>
      <c r="T61" s="223">
        <f t="shared" si="34"/>
        <v>-0.15701057117102352</v>
      </c>
      <c r="U61" s="935"/>
      <c r="V61" s="1258">
        <f t="shared" si="35"/>
        <v>48818</v>
      </c>
      <c r="W61" s="451">
        <f t="shared" si="41"/>
        <v>41847.119999999995</v>
      </c>
      <c r="X61" s="452">
        <f t="shared" si="39"/>
        <v>-6970.8800000000047</v>
      </c>
      <c r="Y61" s="222">
        <f t="shared" si="40"/>
        <v>-0.14279323200458857</v>
      </c>
      <c r="Z61" s="1352"/>
      <c r="AA61" s="642">
        <v>48818</v>
      </c>
      <c r="AB61" s="451">
        <f t="shared" si="36"/>
        <v>6970.8800000000047</v>
      </c>
      <c r="AC61" s="222">
        <f t="shared" si="37"/>
        <v>0.14279323200458857</v>
      </c>
      <c r="AD61" s="935"/>
      <c r="AE61" s="1120"/>
    </row>
    <row r="62" spans="1:31" ht="19.5" thickBot="1" x14ac:dyDescent="0.35">
      <c r="A62" s="190" t="s">
        <v>110</v>
      </c>
      <c r="B62" s="1252">
        <v>3098</v>
      </c>
      <c r="C62" s="1253">
        <v>0</v>
      </c>
      <c r="D62" s="452">
        <f t="shared" si="27"/>
        <v>-3098</v>
      </c>
      <c r="E62" s="220">
        <f t="shared" si="28"/>
        <v>-1</v>
      </c>
      <c r="F62" s="935"/>
      <c r="G62" s="1255">
        <v>3098</v>
      </c>
      <c r="H62" s="1256">
        <v>3294</v>
      </c>
      <c r="I62" s="452">
        <f t="shared" si="29"/>
        <v>196</v>
      </c>
      <c r="J62" s="345">
        <f t="shared" si="30"/>
        <v>6.3266623628147195E-2</v>
      </c>
      <c r="K62" s="191"/>
      <c r="L62" s="450">
        <v>3098</v>
      </c>
      <c r="M62" s="451">
        <v>3294</v>
      </c>
      <c r="N62" s="452">
        <f t="shared" si="31"/>
        <v>196</v>
      </c>
      <c r="O62" s="222">
        <f t="shared" si="32"/>
        <v>6.3266623628147195E-2</v>
      </c>
      <c r="P62" s="935"/>
      <c r="Q62" s="1255">
        <v>3097</v>
      </c>
      <c r="R62" s="1256">
        <v>3295</v>
      </c>
      <c r="S62" s="452">
        <f t="shared" si="33"/>
        <v>198</v>
      </c>
      <c r="T62" s="223">
        <f t="shared" si="34"/>
        <v>6.3932838230545685E-2</v>
      </c>
      <c r="U62" s="935"/>
      <c r="V62" s="1258">
        <f t="shared" si="35"/>
        <v>12391</v>
      </c>
      <c r="W62" s="451">
        <f t="shared" si="41"/>
        <v>9883</v>
      </c>
      <c r="X62" s="452">
        <f t="shared" si="39"/>
        <v>-2508</v>
      </c>
      <c r="Y62" s="222">
        <f t="shared" si="40"/>
        <v>-0.20240497135017352</v>
      </c>
      <c r="Z62" s="1352"/>
      <c r="AA62" s="642">
        <v>12391</v>
      </c>
      <c r="AB62" s="451">
        <f t="shared" si="36"/>
        <v>2508</v>
      </c>
      <c r="AC62" s="222">
        <f t="shared" si="37"/>
        <v>0.20240497135017352</v>
      </c>
      <c r="AD62" s="935"/>
      <c r="AE62" s="929"/>
    </row>
    <row r="63" spans="1:31" x14ac:dyDescent="0.3">
      <c r="A63" s="190" t="s">
        <v>124</v>
      </c>
      <c r="B63" s="1252">
        <v>0</v>
      </c>
      <c r="C63" s="1253">
        <v>0</v>
      </c>
      <c r="D63" s="452">
        <f t="shared" si="27"/>
        <v>0</v>
      </c>
      <c r="E63" s="220" t="str">
        <f t="shared" si="28"/>
        <v>-</v>
      </c>
      <c r="F63" s="935"/>
      <c r="G63" s="1255">
        <v>0</v>
      </c>
      <c r="H63" s="1256">
        <v>0</v>
      </c>
      <c r="I63" s="452">
        <f t="shared" si="29"/>
        <v>0</v>
      </c>
      <c r="J63" s="345" t="str">
        <f t="shared" si="30"/>
        <v>-</v>
      </c>
      <c r="K63" s="191"/>
      <c r="L63" s="450">
        <v>0</v>
      </c>
      <c r="M63" s="451">
        <v>0</v>
      </c>
      <c r="N63" s="452">
        <f t="shared" si="31"/>
        <v>0</v>
      </c>
      <c r="O63" s="222" t="str">
        <f t="shared" si="32"/>
        <v>-</v>
      </c>
      <c r="P63" s="1347"/>
      <c r="Q63" s="1255">
        <v>0</v>
      </c>
      <c r="R63" s="1256">
        <v>0</v>
      </c>
      <c r="S63" s="452">
        <f>R63-Q63</f>
        <v>0</v>
      </c>
      <c r="T63" s="223" t="str">
        <f t="shared" si="34"/>
        <v>-</v>
      </c>
      <c r="U63" s="935"/>
      <c r="V63" s="1258">
        <f t="shared" si="35"/>
        <v>0</v>
      </c>
      <c r="W63" s="451">
        <f t="shared" si="41"/>
        <v>0</v>
      </c>
      <c r="X63" s="452">
        <f t="shared" si="39"/>
        <v>0</v>
      </c>
      <c r="Y63" s="222" t="str">
        <f t="shared" si="40"/>
        <v>-</v>
      </c>
      <c r="Z63" s="1352"/>
      <c r="AA63" s="642">
        <v>0</v>
      </c>
      <c r="AB63" s="451">
        <f t="shared" si="36"/>
        <v>0</v>
      </c>
      <c r="AC63" s="222" t="str">
        <f t="shared" si="37"/>
        <v>-</v>
      </c>
      <c r="AD63" s="935"/>
      <c r="AE63" s="929"/>
    </row>
    <row r="64" spans="1:31" x14ac:dyDescent="0.3">
      <c r="A64" s="190" t="s">
        <v>123</v>
      </c>
      <c r="B64" s="1252">
        <v>0</v>
      </c>
      <c r="C64" s="1253">
        <v>0</v>
      </c>
      <c r="D64" s="452">
        <f t="shared" si="27"/>
        <v>0</v>
      </c>
      <c r="E64" s="220" t="str">
        <f t="shared" si="28"/>
        <v>-</v>
      </c>
      <c r="F64" s="937"/>
      <c r="G64" s="1255">
        <v>0</v>
      </c>
      <c r="H64" s="1256">
        <v>0</v>
      </c>
      <c r="I64" s="452">
        <f t="shared" si="29"/>
        <v>0</v>
      </c>
      <c r="J64" s="345" t="str">
        <f t="shared" si="30"/>
        <v>-</v>
      </c>
      <c r="K64" s="256"/>
      <c r="L64" s="450">
        <v>0</v>
      </c>
      <c r="M64" s="451">
        <v>0</v>
      </c>
      <c r="N64" s="452">
        <f t="shared" si="31"/>
        <v>0</v>
      </c>
      <c r="O64" s="222" t="str">
        <f t="shared" si="32"/>
        <v>-</v>
      </c>
      <c r="P64" s="937"/>
      <c r="Q64" s="1255">
        <v>0</v>
      </c>
      <c r="R64" s="1256">
        <v>0</v>
      </c>
      <c r="S64" s="452">
        <f t="shared" si="33"/>
        <v>0</v>
      </c>
      <c r="T64" s="223" t="str">
        <f t="shared" si="34"/>
        <v>-</v>
      </c>
      <c r="U64" s="937"/>
      <c r="V64" s="1258">
        <f t="shared" si="35"/>
        <v>0</v>
      </c>
      <c r="W64" s="451">
        <f t="shared" si="41"/>
        <v>0</v>
      </c>
      <c r="X64" s="452">
        <f t="shared" si="39"/>
        <v>0</v>
      </c>
      <c r="Y64" s="222" t="str">
        <f t="shared" si="40"/>
        <v>-</v>
      </c>
      <c r="Z64" s="1354"/>
      <c r="AA64" s="642">
        <v>0</v>
      </c>
      <c r="AB64" s="451">
        <f t="shared" si="36"/>
        <v>0</v>
      </c>
      <c r="AC64" s="222" t="str">
        <f t="shared" si="37"/>
        <v>-</v>
      </c>
      <c r="AD64" s="937"/>
      <c r="AE64" s="929"/>
    </row>
    <row r="65" spans="1:31" x14ac:dyDescent="0.3">
      <c r="A65" s="190" t="s">
        <v>122</v>
      </c>
      <c r="B65" s="1252">
        <v>3000</v>
      </c>
      <c r="C65" s="1254">
        <v>5012</v>
      </c>
      <c r="D65" s="452">
        <f t="shared" si="27"/>
        <v>2012</v>
      </c>
      <c r="E65" s="220">
        <f t="shared" si="28"/>
        <v>0.67066666666666663</v>
      </c>
      <c r="F65" s="937"/>
      <c r="G65" s="1255">
        <v>0</v>
      </c>
      <c r="H65" s="1256">
        <v>0</v>
      </c>
      <c r="I65" s="452">
        <f t="shared" si="29"/>
        <v>0</v>
      </c>
      <c r="J65" s="345" t="str">
        <f t="shared" si="30"/>
        <v>-</v>
      </c>
      <c r="K65" s="256"/>
      <c r="L65" s="450">
        <v>0</v>
      </c>
      <c r="M65" s="451">
        <v>0</v>
      </c>
      <c r="N65" s="452">
        <f t="shared" si="31"/>
        <v>0</v>
      </c>
      <c r="O65" s="222" t="str">
        <f t="shared" si="32"/>
        <v>-</v>
      </c>
      <c r="P65" s="937"/>
      <c r="Q65" s="1255">
        <v>0</v>
      </c>
      <c r="R65" s="1256">
        <v>0</v>
      </c>
      <c r="S65" s="452">
        <f t="shared" si="33"/>
        <v>0</v>
      </c>
      <c r="T65" s="223" t="str">
        <f t="shared" si="34"/>
        <v>-</v>
      </c>
      <c r="U65" s="937"/>
      <c r="V65" s="1259">
        <f t="shared" si="35"/>
        <v>3000</v>
      </c>
      <c r="W65" s="451">
        <f t="shared" si="41"/>
        <v>5012</v>
      </c>
      <c r="X65" s="452">
        <f t="shared" si="39"/>
        <v>2012</v>
      </c>
      <c r="Y65" s="222">
        <f t="shared" si="40"/>
        <v>0.67066666666666663</v>
      </c>
      <c r="Z65" s="1354"/>
      <c r="AA65" s="1258">
        <v>3000</v>
      </c>
      <c r="AB65" s="451">
        <f t="shared" si="36"/>
        <v>-2012</v>
      </c>
      <c r="AC65" s="222">
        <f t="shared" si="37"/>
        <v>-0.67066666666666663</v>
      </c>
      <c r="AD65" s="937"/>
      <c r="AE65" s="928"/>
    </row>
    <row r="66" spans="1:31" x14ac:dyDescent="0.3">
      <c r="A66" s="190" t="s">
        <v>114</v>
      </c>
      <c r="B66" s="1252">
        <v>0</v>
      </c>
      <c r="C66" s="1253">
        <v>0</v>
      </c>
      <c r="D66" s="452">
        <f t="shared" si="27"/>
        <v>0</v>
      </c>
      <c r="E66" s="220" t="str">
        <f t="shared" si="28"/>
        <v>-</v>
      </c>
      <c r="F66" s="937"/>
      <c r="G66" s="1255">
        <v>0</v>
      </c>
      <c r="H66" s="1256">
        <v>0</v>
      </c>
      <c r="I66" s="452">
        <f t="shared" si="29"/>
        <v>0</v>
      </c>
      <c r="J66" s="345" t="str">
        <f t="shared" si="30"/>
        <v>-</v>
      </c>
      <c r="K66" s="256"/>
      <c r="L66" s="450">
        <v>0</v>
      </c>
      <c r="M66" s="451">
        <v>0</v>
      </c>
      <c r="N66" s="452">
        <f t="shared" si="31"/>
        <v>0</v>
      </c>
      <c r="O66" s="222" t="str">
        <f t="shared" si="32"/>
        <v>-</v>
      </c>
      <c r="P66" s="937"/>
      <c r="Q66" s="1255">
        <v>0</v>
      </c>
      <c r="R66" s="1256">
        <v>0</v>
      </c>
      <c r="S66" s="452">
        <f t="shared" si="33"/>
        <v>0</v>
      </c>
      <c r="T66" s="223" t="str">
        <f t="shared" si="34"/>
        <v>-</v>
      </c>
      <c r="U66" s="937"/>
      <c r="V66" s="1258">
        <f t="shared" si="35"/>
        <v>0</v>
      </c>
      <c r="W66" s="451">
        <f>C66+H66+M66+R66</f>
        <v>0</v>
      </c>
      <c r="X66" s="452">
        <f t="shared" si="39"/>
        <v>0</v>
      </c>
      <c r="Y66" s="222" t="str">
        <f t="shared" si="40"/>
        <v>-</v>
      </c>
      <c r="Z66" s="1354"/>
      <c r="AA66" s="642">
        <v>96000</v>
      </c>
      <c r="AB66" s="451">
        <f t="shared" si="36"/>
        <v>96000</v>
      </c>
      <c r="AC66" s="222">
        <f t="shared" si="37"/>
        <v>1</v>
      </c>
      <c r="AD66" s="937"/>
      <c r="AE66" s="929"/>
    </row>
    <row r="67" spans="1:31" ht="23.25" customHeight="1" x14ac:dyDescent="0.3">
      <c r="A67" s="190" t="s">
        <v>115</v>
      </c>
      <c r="B67" s="1252">
        <v>24000</v>
      </c>
      <c r="C67" s="1253">
        <v>24000</v>
      </c>
      <c r="D67" s="452">
        <f t="shared" si="27"/>
        <v>0</v>
      </c>
      <c r="E67" s="220">
        <f t="shared" si="28"/>
        <v>0</v>
      </c>
      <c r="F67" s="935"/>
      <c r="G67" s="1255">
        <v>24000</v>
      </c>
      <c r="H67" s="1256">
        <v>24000</v>
      </c>
      <c r="I67" s="452">
        <f t="shared" si="29"/>
        <v>0</v>
      </c>
      <c r="J67" s="345">
        <f t="shared" si="30"/>
        <v>0</v>
      </c>
      <c r="K67" s="191"/>
      <c r="L67" s="450">
        <v>24000</v>
      </c>
      <c r="M67" s="451">
        <v>24000</v>
      </c>
      <c r="N67" s="452">
        <f t="shared" si="31"/>
        <v>0</v>
      </c>
      <c r="O67" s="222">
        <f t="shared" si="32"/>
        <v>0</v>
      </c>
      <c r="P67" s="935"/>
      <c r="Q67" s="1255">
        <v>24000</v>
      </c>
      <c r="R67" s="1256">
        <v>24000</v>
      </c>
      <c r="S67" s="452">
        <f t="shared" si="33"/>
        <v>0</v>
      </c>
      <c r="T67" s="223">
        <f t="shared" si="34"/>
        <v>0</v>
      </c>
      <c r="U67" s="935"/>
      <c r="V67" s="1258">
        <f t="shared" si="35"/>
        <v>96000</v>
      </c>
      <c r="W67" s="451">
        <f t="shared" si="41"/>
        <v>96000</v>
      </c>
      <c r="X67" s="452">
        <f t="shared" si="39"/>
        <v>0</v>
      </c>
      <c r="Y67" s="222">
        <f t="shared" si="40"/>
        <v>0</v>
      </c>
      <c r="Z67" s="1352"/>
      <c r="AA67" s="642">
        <v>0</v>
      </c>
      <c r="AB67" s="451">
        <f t="shared" si="36"/>
        <v>-96000</v>
      </c>
      <c r="AC67" s="222" t="str">
        <f t="shared" si="37"/>
        <v>-</v>
      </c>
      <c r="AD67" s="935"/>
      <c r="AE67" s="928"/>
    </row>
    <row r="68" spans="1:31" x14ac:dyDescent="0.3">
      <c r="A68" s="190" t="s">
        <v>121</v>
      </c>
      <c r="B68" s="1252">
        <v>0</v>
      </c>
      <c r="C68" s="1253">
        <v>0</v>
      </c>
      <c r="D68" s="452">
        <f t="shared" si="27"/>
        <v>0</v>
      </c>
      <c r="E68" s="220" t="str">
        <f t="shared" si="28"/>
        <v>-</v>
      </c>
      <c r="F68" s="937"/>
      <c r="G68" s="1255">
        <v>0</v>
      </c>
      <c r="H68" s="1256">
        <v>0</v>
      </c>
      <c r="I68" s="452">
        <f t="shared" si="29"/>
        <v>0</v>
      </c>
      <c r="J68" s="345" t="str">
        <f t="shared" si="30"/>
        <v>-</v>
      </c>
      <c r="K68" s="256"/>
      <c r="L68" s="450">
        <v>0</v>
      </c>
      <c r="M68" s="451">
        <v>0</v>
      </c>
      <c r="N68" s="452">
        <f t="shared" si="31"/>
        <v>0</v>
      </c>
      <c r="O68" s="222" t="str">
        <f t="shared" si="32"/>
        <v>-</v>
      </c>
      <c r="P68" s="937"/>
      <c r="Q68" s="1255">
        <v>0</v>
      </c>
      <c r="R68" s="1256">
        <v>0</v>
      </c>
      <c r="S68" s="452">
        <f t="shared" si="33"/>
        <v>0</v>
      </c>
      <c r="T68" s="223" t="str">
        <f t="shared" si="34"/>
        <v>-</v>
      </c>
      <c r="U68" s="937"/>
      <c r="V68" s="1258">
        <f t="shared" si="35"/>
        <v>0</v>
      </c>
      <c r="W68" s="451">
        <f t="shared" si="41"/>
        <v>0</v>
      </c>
      <c r="X68" s="452">
        <f t="shared" si="39"/>
        <v>0</v>
      </c>
      <c r="Y68" s="222" t="str">
        <f t="shared" si="40"/>
        <v>-</v>
      </c>
      <c r="Z68" s="1354"/>
      <c r="AA68" s="642">
        <v>0</v>
      </c>
      <c r="AB68" s="451">
        <f t="shared" si="36"/>
        <v>0</v>
      </c>
      <c r="AC68" s="222" t="str">
        <f t="shared" si="37"/>
        <v>-</v>
      </c>
      <c r="AD68" s="937"/>
      <c r="AE68" s="928"/>
    </row>
    <row r="69" spans="1:31" x14ac:dyDescent="0.3">
      <c r="A69" s="190" t="s">
        <v>97</v>
      </c>
      <c r="B69" s="1252">
        <v>375</v>
      </c>
      <c r="C69" s="1253">
        <v>536</v>
      </c>
      <c r="D69" s="452">
        <f t="shared" si="27"/>
        <v>161</v>
      </c>
      <c r="E69" s="220">
        <f t="shared" si="28"/>
        <v>0.42933333333333334</v>
      </c>
      <c r="F69" s="937"/>
      <c r="G69" s="1255">
        <v>375</v>
      </c>
      <c r="H69" s="1256">
        <v>0</v>
      </c>
      <c r="I69" s="452">
        <f t="shared" si="29"/>
        <v>-375</v>
      </c>
      <c r="J69" s="345">
        <f t="shared" si="30"/>
        <v>-1</v>
      </c>
      <c r="K69" s="256"/>
      <c r="L69" s="450">
        <v>375</v>
      </c>
      <c r="M69" s="451">
        <v>0</v>
      </c>
      <c r="N69" s="452">
        <f t="shared" si="31"/>
        <v>-375</v>
      </c>
      <c r="O69" s="222">
        <f t="shared" si="32"/>
        <v>-1</v>
      </c>
      <c r="P69" s="937"/>
      <c r="Q69" s="1255">
        <v>375</v>
      </c>
      <c r="R69" s="1256">
        <v>1458.76</v>
      </c>
      <c r="S69" s="452">
        <f t="shared" si="33"/>
        <v>1083.76</v>
      </c>
      <c r="T69" s="223">
        <f t="shared" si="34"/>
        <v>2.8900266666666665</v>
      </c>
      <c r="U69" s="937"/>
      <c r="V69" s="1258">
        <f t="shared" si="35"/>
        <v>1500</v>
      </c>
      <c r="W69" s="451">
        <f t="shared" si="41"/>
        <v>1994.76</v>
      </c>
      <c r="X69" s="452">
        <f t="shared" si="39"/>
        <v>494.76</v>
      </c>
      <c r="Y69" s="222">
        <f t="shared" si="40"/>
        <v>0.32983999999999997</v>
      </c>
      <c r="Z69" s="1354"/>
      <c r="AA69" s="1258">
        <v>1500</v>
      </c>
      <c r="AB69" s="451">
        <f t="shared" si="36"/>
        <v>-494.76</v>
      </c>
      <c r="AC69" s="222">
        <f t="shared" si="37"/>
        <v>-0.32983999999999997</v>
      </c>
      <c r="AD69" s="937"/>
      <c r="AE69" s="929"/>
    </row>
    <row r="70" spans="1:31" x14ac:dyDescent="0.3">
      <c r="A70" s="190" t="s">
        <v>98</v>
      </c>
      <c r="B70" s="1252">
        <v>0</v>
      </c>
      <c r="C70" s="1253">
        <v>0</v>
      </c>
      <c r="D70" s="452">
        <f t="shared" si="27"/>
        <v>0</v>
      </c>
      <c r="E70" s="220" t="str">
        <f t="shared" si="28"/>
        <v>-</v>
      </c>
      <c r="F70" s="935"/>
      <c r="G70" s="1255">
        <v>0</v>
      </c>
      <c r="H70" s="1256">
        <v>0</v>
      </c>
      <c r="I70" s="452">
        <f t="shared" si="29"/>
        <v>0</v>
      </c>
      <c r="J70" s="345" t="str">
        <f t="shared" si="30"/>
        <v>-</v>
      </c>
      <c r="K70" s="191"/>
      <c r="L70" s="450">
        <v>0</v>
      </c>
      <c r="M70" s="451">
        <v>0</v>
      </c>
      <c r="N70" s="452">
        <f t="shared" si="31"/>
        <v>0</v>
      </c>
      <c r="O70" s="222" t="str">
        <f t="shared" si="32"/>
        <v>-</v>
      </c>
      <c r="P70" s="935"/>
      <c r="Q70" s="1255">
        <v>0</v>
      </c>
      <c r="R70" s="1256">
        <v>0</v>
      </c>
      <c r="S70" s="452">
        <f t="shared" si="33"/>
        <v>0</v>
      </c>
      <c r="T70" s="223" t="str">
        <f t="shared" si="34"/>
        <v>-</v>
      </c>
      <c r="U70" s="935"/>
      <c r="V70" s="1258">
        <f t="shared" si="35"/>
        <v>0</v>
      </c>
      <c r="W70" s="451">
        <f t="shared" si="41"/>
        <v>0</v>
      </c>
      <c r="X70" s="452">
        <f t="shared" si="39"/>
        <v>0</v>
      </c>
      <c r="Y70" s="222" t="str">
        <f t="shared" si="40"/>
        <v>-</v>
      </c>
      <c r="Z70" s="1352"/>
      <c r="AA70" s="642">
        <v>0</v>
      </c>
      <c r="AB70" s="451">
        <f t="shared" si="36"/>
        <v>0</v>
      </c>
      <c r="AC70" s="222" t="str">
        <f t="shared" si="37"/>
        <v>-</v>
      </c>
      <c r="AD70" s="935"/>
      <c r="AE70" s="929"/>
    </row>
    <row r="71" spans="1:31" x14ac:dyDescent="0.3">
      <c r="A71" s="190" t="s">
        <v>116</v>
      </c>
      <c r="B71" s="1252">
        <v>0</v>
      </c>
      <c r="C71" s="1253">
        <v>0</v>
      </c>
      <c r="D71" s="452">
        <f t="shared" si="27"/>
        <v>0</v>
      </c>
      <c r="E71" s="220" t="str">
        <f t="shared" si="28"/>
        <v>-</v>
      </c>
      <c r="F71" s="937"/>
      <c r="G71" s="1255">
        <v>0</v>
      </c>
      <c r="H71" s="1256">
        <v>0</v>
      </c>
      <c r="I71" s="452">
        <f t="shared" si="29"/>
        <v>0</v>
      </c>
      <c r="J71" s="345" t="str">
        <f t="shared" si="30"/>
        <v>-</v>
      </c>
      <c r="K71" s="256"/>
      <c r="L71" s="450">
        <v>0</v>
      </c>
      <c r="M71" s="451">
        <v>0</v>
      </c>
      <c r="N71" s="452">
        <f t="shared" si="31"/>
        <v>0</v>
      </c>
      <c r="O71" s="222" t="str">
        <f t="shared" si="32"/>
        <v>-</v>
      </c>
      <c r="P71" s="937"/>
      <c r="Q71" s="1255">
        <v>0</v>
      </c>
      <c r="R71" s="1256">
        <v>0</v>
      </c>
      <c r="S71" s="452">
        <f>R71-Q71</f>
        <v>0</v>
      </c>
      <c r="T71" s="223" t="str">
        <f t="shared" si="34"/>
        <v>-</v>
      </c>
      <c r="U71" s="937"/>
      <c r="V71" s="1258">
        <f t="shared" si="35"/>
        <v>0</v>
      </c>
      <c r="W71" s="451">
        <f t="shared" si="41"/>
        <v>0</v>
      </c>
      <c r="X71" s="452">
        <f t="shared" si="39"/>
        <v>0</v>
      </c>
      <c r="Y71" s="222" t="str">
        <f t="shared" si="40"/>
        <v>-</v>
      </c>
      <c r="Z71" s="1354"/>
      <c r="AA71" s="642">
        <v>0</v>
      </c>
      <c r="AB71" s="451">
        <f t="shared" si="36"/>
        <v>0</v>
      </c>
      <c r="AC71" s="222" t="str">
        <f t="shared" si="37"/>
        <v>-</v>
      </c>
      <c r="AD71" s="937"/>
      <c r="AE71" s="929"/>
    </row>
    <row r="72" spans="1:31" x14ac:dyDescent="0.3">
      <c r="A72" s="190" t="s">
        <v>99</v>
      </c>
      <c r="B72" s="1252">
        <v>0</v>
      </c>
      <c r="C72" s="1253">
        <v>0</v>
      </c>
      <c r="D72" s="452">
        <f t="shared" si="27"/>
        <v>0</v>
      </c>
      <c r="E72" s="220" t="str">
        <f t="shared" si="28"/>
        <v>-</v>
      </c>
      <c r="F72" s="935"/>
      <c r="G72" s="1255">
        <v>0</v>
      </c>
      <c r="H72" s="1256">
        <v>0</v>
      </c>
      <c r="I72" s="452">
        <f t="shared" si="29"/>
        <v>0</v>
      </c>
      <c r="J72" s="345" t="str">
        <f t="shared" si="30"/>
        <v>-</v>
      </c>
      <c r="K72" s="191"/>
      <c r="L72" s="450">
        <v>0</v>
      </c>
      <c r="M72" s="451">
        <v>0</v>
      </c>
      <c r="N72" s="452">
        <f t="shared" si="31"/>
        <v>0</v>
      </c>
      <c r="O72" s="222" t="str">
        <f t="shared" si="32"/>
        <v>-</v>
      </c>
      <c r="P72" s="935"/>
      <c r="Q72" s="1255">
        <v>0</v>
      </c>
      <c r="R72" s="1256">
        <v>0</v>
      </c>
      <c r="S72" s="452">
        <f t="shared" si="33"/>
        <v>0</v>
      </c>
      <c r="T72" s="223" t="str">
        <f t="shared" si="34"/>
        <v>-</v>
      </c>
      <c r="U72" s="935"/>
      <c r="V72" s="1258">
        <f t="shared" si="35"/>
        <v>0</v>
      </c>
      <c r="W72" s="451">
        <f t="shared" si="41"/>
        <v>0</v>
      </c>
      <c r="X72" s="452">
        <f t="shared" si="39"/>
        <v>0</v>
      </c>
      <c r="Y72" s="222" t="str">
        <f t="shared" si="40"/>
        <v>-</v>
      </c>
      <c r="Z72" s="1352"/>
      <c r="AA72" s="1258">
        <v>0</v>
      </c>
      <c r="AB72" s="451">
        <f t="shared" si="36"/>
        <v>0</v>
      </c>
      <c r="AC72" s="222" t="str">
        <f t="shared" si="37"/>
        <v>-</v>
      </c>
      <c r="AD72" s="935"/>
      <c r="AE72" s="929"/>
    </row>
    <row r="73" spans="1:31" x14ac:dyDescent="0.3">
      <c r="A73" s="190" t="s">
        <v>100</v>
      </c>
      <c r="B73" s="1252">
        <v>2250</v>
      </c>
      <c r="C73" s="1253">
        <v>0</v>
      </c>
      <c r="D73" s="452">
        <f t="shared" si="27"/>
        <v>-2250</v>
      </c>
      <c r="E73" s="220">
        <f t="shared" si="28"/>
        <v>-1</v>
      </c>
      <c r="F73" s="937"/>
      <c r="G73" s="1255">
        <v>9000</v>
      </c>
      <c r="H73" s="1256">
        <v>22514</v>
      </c>
      <c r="I73" s="452">
        <f t="shared" si="29"/>
        <v>13514</v>
      </c>
      <c r="J73" s="345">
        <f t="shared" si="30"/>
        <v>1.5015555555555555</v>
      </c>
      <c r="K73" s="256"/>
      <c r="L73" s="450">
        <v>0</v>
      </c>
      <c r="M73" s="451">
        <v>0</v>
      </c>
      <c r="N73" s="452">
        <f t="shared" si="31"/>
        <v>0</v>
      </c>
      <c r="O73" s="222"/>
      <c r="P73" s="937"/>
      <c r="Q73" s="1255">
        <v>0</v>
      </c>
      <c r="R73" s="1256">
        <v>365.48</v>
      </c>
      <c r="S73" s="452">
        <f t="shared" si="33"/>
        <v>365.48</v>
      </c>
      <c r="T73" s="223"/>
      <c r="U73" s="937"/>
      <c r="V73" s="1258">
        <f t="shared" si="35"/>
        <v>11250</v>
      </c>
      <c r="W73" s="451">
        <f t="shared" si="41"/>
        <v>22879.48</v>
      </c>
      <c r="X73" s="452">
        <f t="shared" si="39"/>
        <v>11629.48</v>
      </c>
      <c r="Y73" s="222">
        <f t="shared" si="40"/>
        <v>1.0337315555555555</v>
      </c>
      <c r="Z73" s="1354"/>
      <c r="AA73" s="1258">
        <v>9000</v>
      </c>
      <c r="AB73" s="451">
        <f t="shared" si="36"/>
        <v>-13879.48</v>
      </c>
      <c r="AC73" s="222">
        <f t="shared" si="37"/>
        <v>-1.5421644444444444</v>
      </c>
      <c r="AD73" s="937"/>
      <c r="AE73" s="928"/>
    </row>
    <row r="74" spans="1:31" x14ac:dyDescent="0.3">
      <c r="A74" s="275" t="s">
        <v>101</v>
      </c>
      <c r="B74" s="1252">
        <v>9319</v>
      </c>
      <c r="C74" s="1253">
        <v>7018</v>
      </c>
      <c r="D74" s="452">
        <f t="shared" si="27"/>
        <v>-2301</v>
      </c>
      <c r="E74" s="220">
        <f t="shared" si="28"/>
        <v>-0.24691490503272884</v>
      </c>
      <c r="F74" s="935"/>
      <c r="G74" s="1255">
        <v>9311</v>
      </c>
      <c r="H74" s="1256">
        <v>9311</v>
      </c>
      <c r="I74" s="452">
        <f t="shared" si="29"/>
        <v>0</v>
      </c>
      <c r="J74" s="345">
        <f t="shared" si="30"/>
        <v>0</v>
      </c>
      <c r="K74" s="191"/>
      <c r="L74" s="450">
        <v>9311</v>
      </c>
      <c r="M74" s="451">
        <v>10725</v>
      </c>
      <c r="N74" s="452">
        <f t="shared" si="31"/>
        <v>1414</v>
      </c>
      <c r="O74" s="222">
        <f>IF(ISERROR(N74/L74),"-",N74/L74)</f>
        <v>0.15186338739125765</v>
      </c>
      <c r="P74" s="935"/>
      <c r="Q74" s="1255">
        <v>11636</v>
      </c>
      <c r="R74" s="1256">
        <v>8286.9</v>
      </c>
      <c r="S74" s="452">
        <f t="shared" si="33"/>
        <v>-3349.1000000000004</v>
      </c>
      <c r="T74" s="223">
        <f>IF(ISERROR(S74/Q74),"-",S74/Q74)</f>
        <v>-0.28782227569611551</v>
      </c>
      <c r="U74" s="935"/>
      <c r="V74" s="1258">
        <f t="shared" si="35"/>
        <v>39577</v>
      </c>
      <c r="W74" s="451">
        <f t="shared" si="41"/>
        <v>35340.9</v>
      </c>
      <c r="X74" s="452">
        <f t="shared" si="39"/>
        <v>-4236.0999999999985</v>
      </c>
      <c r="Y74" s="222">
        <f t="shared" si="40"/>
        <v>-0.10703438866008032</v>
      </c>
      <c r="Z74" s="1352"/>
      <c r="AA74" s="1258">
        <v>37276</v>
      </c>
      <c r="AB74" s="451">
        <f t="shared" si="36"/>
        <v>1935.0999999999985</v>
      </c>
      <c r="AC74" s="222">
        <f t="shared" si="37"/>
        <v>5.1912758879708087E-2</v>
      </c>
      <c r="AD74" s="935"/>
      <c r="AE74" s="928"/>
    </row>
    <row r="75" spans="1:31" x14ac:dyDescent="0.3">
      <c r="A75" s="276" t="s">
        <v>120</v>
      </c>
      <c r="B75" s="1252">
        <v>0</v>
      </c>
      <c r="C75" s="1253">
        <v>0</v>
      </c>
      <c r="D75" s="452">
        <f t="shared" si="27"/>
        <v>0</v>
      </c>
      <c r="E75" s="220" t="str">
        <f t="shared" si="28"/>
        <v>-</v>
      </c>
      <c r="F75" s="935"/>
      <c r="G75" s="1255">
        <v>0</v>
      </c>
      <c r="H75" s="1256">
        <v>0</v>
      </c>
      <c r="I75" s="452">
        <f t="shared" si="29"/>
        <v>0</v>
      </c>
      <c r="J75" s="345" t="str">
        <f t="shared" si="30"/>
        <v>-</v>
      </c>
      <c r="K75" s="191"/>
      <c r="L75" s="450">
        <v>0</v>
      </c>
      <c r="M75" s="451">
        <v>0</v>
      </c>
      <c r="N75" s="452">
        <f t="shared" si="31"/>
        <v>0</v>
      </c>
      <c r="O75" s="222" t="str">
        <f>IF(ISERROR(N75/L75),"-",N75/L75)</f>
        <v>-</v>
      </c>
      <c r="P75" s="935"/>
      <c r="Q75" s="1255">
        <v>0</v>
      </c>
      <c r="R75" s="1256">
        <v>0</v>
      </c>
      <c r="S75" s="452">
        <f t="shared" si="33"/>
        <v>0</v>
      </c>
      <c r="T75" s="223" t="str">
        <f>IF(ISERROR(S75/Q75),"-",S75/Q75)</f>
        <v>-</v>
      </c>
      <c r="U75" s="935"/>
      <c r="V75" s="1258">
        <f t="shared" si="35"/>
        <v>0</v>
      </c>
      <c r="W75" s="451">
        <f t="shared" si="41"/>
        <v>0</v>
      </c>
      <c r="X75" s="452">
        <f t="shared" si="39"/>
        <v>0</v>
      </c>
      <c r="Y75" s="222" t="str">
        <f t="shared" si="40"/>
        <v>-</v>
      </c>
      <c r="Z75" s="1352"/>
      <c r="AA75" s="1258">
        <v>0</v>
      </c>
      <c r="AB75" s="451">
        <f t="shared" si="36"/>
        <v>0</v>
      </c>
      <c r="AC75" s="222" t="str">
        <f t="shared" si="37"/>
        <v>-</v>
      </c>
      <c r="AD75" s="935"/>
      <c r="AE75" s="928"/>
    </row>
    <row r="76" spans="1:31" ht="19.5" thickBot="1" x14ac:dyDescent="0.35">
      <c r="A76" s="199" t="s">
        <v>102</v>
      </c>
      <c r="B76" s="469">
        <f>SUM(B43:B75)</f>
        <v>130532</v>
      </c>
      <c r="C76" s="470">
        <f>SUM(C43:C75)</f>
        <v>122584</v>
      </c>
      <c r="D76" s="470">
        <f>SUM(D43:D75)</f>
        <v>-7948</v>
      </c>
      <c r="E76" s="237">
        <f>IF(ISERROR(D76/B76),"-",D76/B76)</f>
        <v>-6.0889283853767656E-2</v>
      </c>
      <c r="F76" s="203"/>
      <c r="G76" s="469">
        <f>SUM(G43:G75)</f>
        <v>172846</v>
      </c>
      <c r="H76" s="470">
        <f>SUM(H43:H75)</f>
        <v>144291.75</v>
      </c>
      <c r="I76" s="470">
        <f>SUM(I43:I75)</f>
        <v>-28554.25</v>
      </c>
      <c r="J76" s="237">
        <f>IF(ISERROR(I76/G76),"-",I76/G76)</f>
        <v>-0.16520052532311999</v>
      </c>
      <c r="K76" s="203"/>
      <c r="L76" s="469">
        <f>SUM(L43:L75)</f>
        <v>226846</v>
      </c>
      <c r="M76" s="470">
        <f>SUM(M43:M75)</f>
        <v>171914.12</v>
      </c>
      <c r="N76" s="470">
        <f>SUM(N43:N75)</f>
        <v>-54931.880000000005</v>
      </c>
      <c r="O76" s="237">
        <f>IF(ISERROR(N76/L76),"-",N76/L76)</f>
        <v>-0.24215494211932326</v>
      </c>
      <c r="P76" s="951"/>
      <c r="Q76" s="640">
        <f>SUM(Q43:Q75)</f>
        <v>240003</v>
      </c>
      <c r="R76" s="470">
        <f>SUM(R43:R75)</f>
        <v>366537.07999999996</v>
      </c>
      <c r="S76" s="470">
        <f>SUM(S43:S75)</f>
        <v>126534.07999999999</v>
      </c>
      <c r="T76" s="237">
        <f>IF(ISERROR(S76/Q76),"-",S76/Q76)</f>
        <v>0.5272187430990446</v>
      </c>
      <c r="U76" s="936"/>
      <c r="V76" s="640">
        <f>SUM(V43:V75)</f>
        <v>770227</v>
      </c>
      <c r="W76" s="470">
        <f>SUM(W43:W75)</f>
        <v>805326.95</v>
      </c>
      <c r="X76" s="470">
        <f>SUM(X44:X75)</f>
        <v>35099.949999999975</v>
      </c>
      <c r="Y76" s="237">
        <f t="shared" ref="Y76" si="42">IF(ISERROR(X76/V76),"-",X76/V76)</f>
        <v>4.5570916106550376E-2</v>
      </c>
      <c r="Z76" s="936"/>
      <c r="AA76" s="640">
        <f>SUM(AA43:AA75)</f>
        <v>765676</v>
      </c>
      <c r="AB76" s="470">
        <f>SUM(AB43:AB75)</f>
        <v>-39650.949999999968</v>
      </c>
      <c r="AC76" s="237">
        <f t="shared" si="37"/>
        <v>-5.1785546366870543E-2</v>
      </c>
      <c r="AD76" s="936"/>
      <c r="AE76" s="930"/>
    </row>
    <row r="77" spans="1:31" x14ac:dyDescent="0.3">
      <c r="A77" s="277"/>
      <c r="B77" s="486"/>
      <c r="C77" s="487"/>
      <c r="D77" s="487"/>
      <c r="E77" s="280"/>
      <c r="F77" s="175"/>
      <c r="G77" s="488"/>
      <c r="H77" s="489"/>
      <c r="I77" s="489"/>
      <c r="J77" s="292"/>
      <c r="K77" s="175"/>
      <c r="L77" s="486"/>
      <c r="M77" s="487"/>
      <c r="N77" s="487"/>
      <c r="O77" s="284"/>
      <c r="P77" s="175"/>
      <c r="Q77" s="488"/>
      <c r="R77" s="489"/>
      <c r="S77" s="489"/>
      <c r="T77" s="285"/>
      <c r="U77" s="933"/>
      <c r="V77" s="1348"/>
      <c r="W77" s="491"/>
      <c r="X77" s="487"/>
      <c r="Y77" s="284"/>
      <c r="Z77" s="933"/>
      <c r="AA77" s="1348"/>
      <c r="AB77" s="487"/>
      <c r="AC77" s="284"/>
      <c r="AD77" s="933"/>
      <c r="AE77" s="928"/>
    </row>
    <row r="78" spans="1:31" ht="19.5" thickBot="1" x14ac:dyDescent="0.35">
      <c r="A78" s="199" t="s">
        <v>103</v>
      </c>
      <c r="B78" s="469">
        <f>B41+B76+B77</f>
        <v>365896</v>
      </c>
      <c r="C78" s="470">
        <f>C41+C76+C77</f>
        <v>347488</v>
      </c>
      <c r="D78" s="470">
        <f>D41+D76+D77</f>
        <v>-18408</v>
      </c>
      <c r="E78" s="237">
        <f>IF(ISERROR(D78/B78),"-",D78/B78)</f>
        <v>-5.0309377528040752E-2</v>
      </c>
      <c r="F78" s="256"/>
      <c r="G78" s="469">
        <f>G41+G76+G77</f>
        <v>408471</v>
      </c>
      <c r="H78" s="470">
        <f>H41+H76+H77</f>
        <v>366388.75</v>
      </c>
      <c r="I78" s="470">
        <f>I41+I76+I77</f>
        <v>-42082.25</v>
      </c>
      <c r="J78" s="237">
        <f>IF(ISERROR(I78/G78),"-",I78/G78)</f>
        <v>-0.10302383767758298</v>
      </c>
      <c r="K78" s="256"/>
      <c r="L78" s="469">
        <f>L41+L76+L77</f>
        <v>462471</v>
      </c>
      <c r="M78" s="470">
        <f>M41+M76+M77</f>
        <v>396511.12</v>
      </c>
      <c r="N78" s="470">
        <f>N41+N76+N77</f>
        <v>-65959.88</v>
      </c>
      <c r="O78" s="237">
        <f>IF(ISERROR(N78/L78),"-",N78/L78)</f>
        <v>-0.14262489972344214</v>
      </c>
      <c r="P78" s="256"/>
      <c r="Q78" s="469">
        <f>Q41+Q76+Q77</f>
        <v>475365</v>
      </c>
      <c r="R78" s="470">
        <f>R41+R76+R77</f>
        <v>589567.66999999993</v>
      </c>
      <c r="S78" s="470">
        <f>S41+S76+S77</f>
        <v>114202.66999999998</v>
      </c>
      <c r="T78" s="237">
        <f>IF(ISERROR(S78/Q78),"-",S78/Q78)</f>
        <v>0.24024206662249006</v>
      </c>
      <c r="U78" s="1350"/>
      <c r="V78" s="469">
        <f>V41+V76+V77</f>
        <v>1712203</v>
      </c>
      <c r="W78" s="470">
        <f>W41+W76+W77</f>
        <v>1699955.54</v>
      </c>
      <c r="X78" s="470">
        <f>X41+X76+X77</f>
        <v>-12247.460000000028</v>
      </c>
      <c r="Y78" s="237">
        <f>IF(ISERROR(X78/V78),"-",X78/V78)</f>
        <v>-7.1530420166300542E-3</v>
      </c>
      <c r="Z78" s="937"/>
      <c r="AA78" s="640">
        <f>AA41+AA76+AA77</f>
        <v>1707130</v>
      </c>
      <c r="AB78" s="470">
        <f>AB41+AB76+AB77</f>
        <v>7174.4600000000355</v>
      </c>
      <c r="AC78" s="237">
        <f>IF(ISERROR(AB78/AA78),"-",AB78/AA78)</f>
        <v>4.2026442040149466E-3</v>
      </c>
      <c r="AD78" s="937"/>
      <c r="AE78" s="930"/>
    </row>
    <row r="79" spans="1:31" ht="19.5" thickBot="1" x14ac:dyDescent="0.35">
      <c r="A79" s="288" t="s">
        <v>170</v>
      </c>
      <c r="B79" s="486">
        <f>B25-B78</f>
        <v>41671</v>
      </c>
      <c r="C79" s="486">
        <f>C25-C78</f>
        <v>-38692</v>
      </c>
      <c r="D79" s="486">
        <f>D29-D78</f>
        <v>-80363</v>
      </c>
      <c r="E79" s="289"/>
      <c r="F79" s="290">
        <f>F25-F78</f>
        <v>0</v>
      </c>
      <c r="G79" s="486">
        <f>G25-G78</f>
        <v>-2641</v>
      </c>
      <c r="H79" s="486">
        <f>H25-H78</f>
        <v>-86442.75</v>
      </c>
      <c r="I79" s="486">
        <f>I29-I78</f>
        <v>-83801.75</v>
      </c>
      <c r="J79" s="290"/>
      <c r="K79" s="290">
        <f>K25-K78</f>
        <v>0</v>
      </c>
      <c r="L79" s="486">
        <f>L25-L78</f>
        <v>-56641</v>
      </c>
      <c r="M79" s="486">
        <f>M25-M78</f>
        <v>-151616.12</v>
      </c>
      <c r="N79" s="486">
        <f>N29-N78</f>
        <v>-94975.12</v>
      </c>
      <c r="O79" s="290"/>
      <c r="P79" s="290">
        <f>P25-P78</f>
        <v>0</v>
      </c>
      <c r="Q79" s="486">
        <f>Q25-Q78</f>
        <v>-69535</v>
      </c>
      <c r="R79" s="486">
        <f>R25-R78</f>
        <v>-273568.66999999993</v>
      </c>
      <c r="S79" s="486">
        <f>S29-S78</f>
        <v>-204033.66999999998</v>
      </c>
      <c r="T79" s="290"/>
      <c r="U79" s="856">
        <f>U25-U78</f>
        <v>0</v>
      </c>
      <c r="V79" s="486">
        <f>V25-V78</f>
        <v>-87146</v>
      </c>
      <c r="W79" s="486">
        <f>W25-W78</f>
        <v>-550319.54</v>
      </c>
      <c r="X79" s="486">
        <f>X29-X78</f>
        <v>-463173.54</v>
      </c>
      <c r="Y79" s="290"/>
      <c r="Z79" s="856">
        <f>Z25-Z78</f>
        <v>0</v>
      </c>
      <c r="AA79" s="906">
        <f>AA25-AA78</f>
        <v>-83812</v>
      </c>
      <c r="AB79" s="486">
        <f>AB29-AB78</f>
        <v>466507.54</v>
      </c>
      <c r="AC79" s="856"/>
      <c r="AD79" s="933"/>
      <c r="AE79" s="928"/>
    </row>
    <row r="80" spans="1:31" ht="33" customHeight="1" thickBot="1" x14ac:dyDescent="0.35">
      <c r="A80" s="291" t="s">
        <v>171</v>
      </c>
      <c r="B80" s="486"/>
      <c r="C80" s="487"/>
      <c r="D80" s="487">
        <f>C80-B80</f>
        <v>0</v>
      </c>
      <c r="E80" s="280"/>
      <c r="F80" s="175"/>
      <c r="G80" s="488"/>
      <c r="H80" s="489"/>
      <c r="I80" s="487">
        <f>H80-G80</f>
        <v>0</v>
      </c>
      <c r="J80" s="292"/>
      <c r="K80" s="175"/>
      <c r="L80" s="486"/>
      <c r="M80" s="487"/>
      <c r="N80" s="487">
        <f>M80-L80</f>
        <v>0</v>
      </c>
      <c r="O80" s="284"/>
      <c r="P80" s="175"/>
      <c r="Q80" s="488"/>
      <c r="R80" s="489"/>
      <c r="S80" s="487">
        <f>R80-Q80</f>
        <v>0</v>
      </c>
      <c r="T80" s="292"/>
      <c r="U80" s="933"/>
      <c r="V80" s="490"/>
      <c r="W80" s="491"/>
      <c r="X80" s="487"/>
      <c r="Y80" s="284"/>
      <c r="Z80" s="1355"/>
      <c r="AA80" s="1348"/>
      <c r="AB80" s="487"/>
      <c r="AC80" s="284"/>
      <c r="AD80" s="933"/>
      <c r="AE80" s="928"/>
    </row>
    <row r="81" spans="1:31" ht="19.5" thickBot="1" x14ac:dyDescent="0.35">
      <c r="A81" s="293" t="s">
        <v>172</v>
      </c>
      <c r="B81" s="486">
        <f>B79-B80</f>
        <v>41671</v>
      </c>
      <c r="C81" s="486">
        <f t="shared" ref="C81:AA81" si="43">C79-C80</f>
        <v>-38692</v>
      </c>
      <c r="D81" s="486">
        <f t="shared" si="43"/>
        <v>-80363</v>
      </c>
      <c r="E81" s="289"/>
      <c r="F81" s="290">
        <f t="shared" si="43"/>
        <v>0</v>
      </c>
      <c r="G81" s="486">
        <f t="shared" si="43"/>
        <v>-2641</v>
      </c>
      <c r="H81" s="486">
        <f>H79-H80</f>
        <v>-86442.75</v>
      </c>
      <c r="I81" s="486">
        <f t="shared" si="43"/>
        <v>-83801.75</v>
      </c>
      <c r="J81" s="290">
        <f>J79-J80</f>
        <v>0</v>
      </c>
      <c r="K81" s="290">
        <f t="shared" si="43"/>
        <v>0</v>
      </c>
      <c r="L81" s="486">
        <f t="shared" si="43"/>
        <v>-56641</v>
      </c>
      <c r="M81" s="486">
        <f t="shared" si="43"/>
        <v>-151616.12</v>
      </c>
      <c r="N81" s="486">
        <f t="shared" si="43"/>
        <v>-94975.12</v>
      </c>
      <c r="O81" s="290">
        <f t="shared" si="43"/>
        <v>0</v>
      </c>
      <c r="P81" s="290">
        <f t="shared" si="43"/>
        <v>0</v>
      </c>
      <c r="Q81" s="486">
        <f t="shared" si="43"/>
        <v>-69535</v>
      </c>
      <c r="R81" s="486">
        <f t="shared" si="43"/>
        <v>-273568.66999999993</v>
      </c>
      <c r="S81" s="486">
        <f t="shared" si="43"/>
        <v>-204033.66999999998</v>
      </c>
      <c r="T81" s="290">
        <f t="shared" si="43"/>
        <v>0</v>
      </c>
      <c r="U81" s="856">
        <f t="shared" si="43"/>
        <v>0</v>
      </c>
      <c r="V81" s="486">
        <f>V79-V80</f>
        <v>-87146</v>
      </c>
      <c r="W81" s="486">
        <f t="shared" si="43"/>
        <v>-550319.54</v>
      </c>
      <c r="X81" s="486">
        <f>X79-X80</f>
        <v>-463173.54</v>
      </c>
      <c r="Y81" s="290">
        <f t="shared" si="43"/>
        <v>0</v>
      </c>
      <c r="Z81" s="290">
        <f t="shared" si="43"/>
        <v>0</v>
      </c>
      <c r="AA81" s="486">
        <f t="shared" si="43"/>
        <v>-83812</v>
      </c>
      <c r="AB81" s="486">
        <f>AB79-AB80</f>
        <v>466507.54</v>
      </c>
      <c r="AC81" s="856">
        <f>AC79-AC80</f>
        <v>0</v>
      </c>
      <c r="AD81" s="933"/>
      <c r="AE81" s="928"/>
    </row>
    <row r="82" spans="1:31" ht="25.5" customHeight="1" x14ac:dyDescent="0.3">
      <c r="A82" s="172" t="s">
        <v>104</v>
      </c>
      <c r="B82" s="450"/>
      <c r="C82" s="451"/>
      <c r="D82" s="451">
        <f>B82-C82</f>
        <v>0</v>
      </c>
      <c r="E82" s="220"/>
      <c r="F82" s="256"/>
      <c r="G82" s="463"/>
      <c r="H82" s="464"/>
      <c r="I82" s="464">
        <f>G82-H82</f>
        <v>0</v>
      </c>
      <c r="J82" s="295" t="str">
        <f>IF(ISERROR(I82/G82),"-",I82/G82)</f>
        <v>-</v>
      </c>
      <c r="K82" s="256"/>
      <c r="L82" s="450"/>
      <c r="M82" s="451"/>
      <c r="N82" s="451">
        <f>L82-M82</f>
        <v>0</v>
      </c>
      <c r="O82" s="294" t="str">
        <f>IF(ISERROR(N82/L82),"-",N82/L82)</f>
        <v>-</v>
      </c>
      <c r="P82" s="256"/>
      <c r="Q82" s="463"/>
      <c r="R82" s="464"/>
      <c r="S82" s="464">
        <f>Q82-R82</f>
        <v>0</v>
      </c>
      <c r="T82" s="295" t="str">
        <f>IF(ISERROR(S82/Q82),"-",S82/Q82)</f>
        <v>-</v>
      </c>
      <c r="U82" s="256"/>
      <c r="V82" s="450">
        <f>B82+G82+L82+Q82</f>
        <v>0</v>
      </c>
      <c r="W82" s="451">
        <f>C82+H82+M82+R82</f>
        <v>0</v>
      </c>
      <c r="X82" s="451">
        <f>V82-W82</f>
        <v>0</v>
      </c>
      <c r="Y82" s="294" t="str">
        <f>IF(ISERROR(X82/V82),"-",X82/V82)</f>
        <v>-</v>
      </c>
      <c r="Z82" s="256"/>
      <c r="AA82" s="450">
        <f>G82+L82+Q82+V82</f>
        <v>0</v>
      </c>
      <c r="AB82" s="451">
        <f>AA82-W82</f>
        <v>0</v>
      </c>
      <c r="AC82" s="294" t="str">
        <f>IF(ISERROR(AB82/AA82),"-",AB82/AA82)</f>
        <v>-</v>
      </c>
      <c r="AD82" s="937"/>
      <c r="AE82" s="928"/>
    </row>
    <row r="83" spans="1:31" ht="29.25" customHeight="1" thickBot="1" x14ac:dyDescent="0.35">
      <c r="A83" s="296" t="s">
        <v>105</v>
      </c>
      <c r="B83" s="492">
        <f>B81-B82</f>
        <v>41671</v>
      </c>
      <c r="C83" s="492">
        <f>C81-C82</f>
        <v>-38692</v>
      </c>
      <c r="D83" s="493">
        <f>C83-B83</f>
        <v>-80363</v>
      </c>
      <c r="E83" s="299">
        <f>IF(ISERROR(B83/D83),"-",B83/D83)</f>
        <v>-0.51853464903002622</v>
      </c>
      <c r="F83" s="300"/>
      <c r="G83" s="492">
        <f>G81-G82</f>
        <v>-2641</v>
      </c>
      <c r="H83" s="492">
        <f>H81-H82</f>
        <v>-86442.75</v>
      </c>
      <c r="I83" s="493">
        <f>H83-G83</f>
        <v>-83801.75</v>
      </c>
      <c r="J83" s="299">
        <f>IF(ISERROR(I83/G83),"-",I83/G83)</f>
        <v>31.731067777357062</v>
      </c>
      <c r="K83" s="300"/>
      <c r="L83" s="492">
        <f>L81-L82</f>
        <v>-56641</v>
      </c>
      <c r="M83" s="492">
        <f>M81-M82</f>
        <v>-151616.12</v>
      </c>
      <c r="N83" s="493">
        <f>M83-L83</f>
        <v>-94975.12</v>
      </c>
      <c r="O83" s="299">
        <f>IF(ISERROR(N83/L83),"-",N83/L83)</f>
        <v>1.6767910171077487</v>
      </c>
      <c r="P83" s="300"/>
      <c r="Q83" s="492">
        <f>Q81-Q82</f>
        <v>-69535</v>
      </c>
      <c r="R83" s="492">
        <f>R81-R82</f>
        <v>-273568.66999999993</v>
      </c>
      <c r="S83" s="493">
        <f>R83-Q83</f>
        <v>-204033.66999999993</v>
      </c>
      <c r="T83" s="299">
        <f>IF(ISERROR(S83/Q83),"-",S83/Q83)</f>
        <v>2.9342585748184358</v>
      </c>
      <c r="U83" s="300"/>
      <c r="V83" s="494">
        <f>V81-V82</f>
        <v>-87146</v>
      </c>
      <c r="W83" s="494">
        <f>W81-W82</f>
        <v>-550319.54</v>
      </c>
      <c r="X83" s="493">
        <f>W83-V83</f>
        <v>-463173.54000000004</v>
      </c>
      <c r="Y83" s="303">
        <f>IF(ISERROR(X83/V83),"-",X83/V83)</f>
        <v>5.3149145112799214</v>
      </c>
      <c r="Z83" s="300"/>
      <c r="AA83" s="494">
        <f>AA81-AA82</f>
        <v>-83812</v>
      </c>
      <c r="AB83" s="494">
        <f>AB81-AB82</f>
        <v>466507.54</v>
      </c>
      <c r="AC83" s="303">
        <f>IF(ISERROR(AB83/AA83),"-",AB83/AA83)</f>
        <v>-5.566118694220398</v>
      </c>
      <c r="AD83" s="1357"/>
      <c r="AE83" s="928"/>
    </row>
  </sheetData>
  <sheetProtection algorithmName="SHA-512" hashValue="/6EF9oZGi0c9nNpFGrRh5FjD6ii5B2Re4D6BsVCiSVynVQI1heg/KOMqz4PHyeuYEEbYLnfNLZnPqr8QtDBtNw==" saltValue="Wrf6o0taKhgUoaN1CRc5Jg==" spinCount="100000" sheet="1" objects="1" scenarios="1"/>
  <mergeCells count="19">
    <mergeCell ref="AE9:AE11"/>
    <mergeCell ref="D10:E10"/>
    <mergeCell ref="I10:J10"/>
    <mergeCell ref="N10:O10"/>
    <mergeCell ref="S10:T10"/>
    <mergeCell ref="X10:Y10"/>
    <mergeCell ref="AB10:AC10"/>
    <mergeCell ref="B9:E9"/>
    <mergeCell ref="G9:J9"/>
    <mergeCell ref="L9:O9"/>
    <mergeCell ref="Q9:T9"/>
    <mergeCell ref="V9:Y9"/>
    <mergeCell ref="AA9:AC9"/>
    <mergeCell ref="A7:H7"/>
    <mergeCell ref="A1:H1"/>
    <mergeCell ref="A3:H3"/>
    <mergeCell ref="A4:H4"/>
    <mergeCell ref="A5:H5"/>
    <mergeCell ref="A6:H6"/>
  </mergeCells>
  <pageMargins left="0.7" right="0.7" top="0.75" bottom="0.75" header="0.3" footer="0.3"/>
  <pageSetup paperSize="17" scale="44" fitToHeight="0" orientation="landscape" horizontalDpi="300" verticalDpi="3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S72"/>
  <sheetViews>
    <sheetView topLeftCell="A7" zoomScale="80" zoomScaleNormal="80" workbookViewId="0">
      <selection activeCell="E45" sqref="E45"/>
    </sheetView>
  </sheetViews>
  <sheetFormatPr defaultColWidth="8.85546875" defaultRowHeight="15.75" customHeight="1" x14ac:dyDescent="0.3"/>
  <cols>
    <col min="1" max="1" width="64.42578125" style="49" customWidth="1"/>
    <col min="2" max="2" width="16.42578125" style="355" customWidth="1"/>
    <col min="3" max="3" width="16.85546875" style="355" customWidth="1"/>
    <col min="4" max="4" width="18.140625" style="355" customWidth="1"/>
    <col min="5" max="5" width="17" style="355" customWidth="1"/>
    <col min="6" max="6" width="17.42578125" style="355" customWidth="1"/>
    <col min="7" max="18" width="8.85546875" style="49" customWidth="1"/>
    <col min="19" max="19" width="13.5703125" style="49" customWidth="1"/>
    <col min="20" max="231" width="8.85546875" style="49" customWidth="1"/>
    <col min="232" max="16384" width="8.85546875" style="49"/>
  </cols>
  <sheetData>
    <row r="1" spans="1:19" ht="18.75" customHeight="1" x14ac:dyDescent="0.3">
      <c r="A1" s="1418" t="s">
        <v>49</v>
      </c>
      <c r="B1" s="1419"/>
      <c r="C1" s="1419"/>
      <c r="D1" s="1419"/>
      <c r="E1" s="1419"/>
      <c r="F1" s="1419"/>
    </row>
    <row r="2" spans="1:19" ht="15.75" customHeight="1" x14ac:dyDescent="0.3">
      <c r="A2" s="50"/>
      <c r="B2" s="357"/>
      <c r="C2" s="357"/>
      <c r="D2" s="357"/>
      <c r="E2" s="357"/>
      <c r="F2" s="357"/>
    </row>
    <row r="3" spans="1:19" s="52" customFormat="1" ht="18.75" customHeight="1" x14ac:dyDescent="0.3">
      <c r="A3" s="1420" t="s">
        <v>185</v>
      </c>
      <c r="B3" s="1421"/>
      <c r="C3" s="1421"/>
      <c r="D3" s="1421"/>
      <c r="E3" s="1421"/>
      <c r="F3" s="1421"/>
    </row>
    <row r="4" spans="1:19" ht="18.75" customHeight="1" x14ac:dyDescent="0.3">
      <c r="A4" s="1422" t="s">
        <v>0</v>
      </c>
      <c r="B4" s="1423"/>
      <c r="C4" s="1423"/>
      <c r="D4" s="1423"/>
      <c r="E4" s="1423"/>
      <c r="F4" s="1423"/>
    </row>
    <row r="5" spans="1:19" ht="18.75" customHeight="1" x14ac:dyDescent="0.3">
      <c r="A5" s="1422" t="s">
        <v>1</v>
      </c>
      <c r="B5" s="1424"/>
      <c r="C5" s="1424"/>
      <c r="D5" s="1424"/>
      <c r="E5" s="1424"/>
      <c r="F5" s="1424"/>
    </row>
    <row r="6" spans="1:19" ht="18.75" customHeight="1" x14ac:dyDescent="0.3">
      <c r="A6" s="1420" t="s">
        <v>203</v>
      </c>
      <c r="B6" s="1425"/>
      <c r="C6" s="1425"/>
      <c r="D6" s="1425"/>
      <c r="E6" s="1425"/>
      <c r="F6" s="1425"/>
    </row>
    <row r="7" spans="1:19" ht="18.75" customHeight="1" x14ac:dyDescent="0.3">
      <c r="A7" s="1416" t="s">
        <v>2</v>
      </c>
      <c r="B7" s="1417"/>
      <c r="C7" s="1417"/>
      <c r="D7" s="1417"/>
      <c r="E7" s="1417"/>
      <c r="F7" s="1417"/>
    </row>
    <row r="8" spans="1:19" ht="18.75" customHeight="1" x14ac:dyDescent="0.3">
      <c r="A8" s="53"/>
      <c r="B8" s="358"/>
      <c r="C8" s="358"/>
      <c r="D8" s="358"/>
      <c r="E8" s="358"/>
      <c r="F8" s="358"/>
    </row>
    <row r="9" spans="1:19" ht="17.45" customHeight="1" x14ac:dyDescent="0.3">
      <c r="A9" s="1095"/>
      <c r="B9" s="1096" t="s">
        <v>164</v>
      </c>
      <c r="C9" s="1094" t="s">
        <v>165</v>
      </c>
      <c r="D9" s="1096" t="s">
        <v>166</v>
      </c>
      <c r="E9" s="1094" t="s">
        <v>167</v>
      </c>
      <c r="F9" s="1096" t="s">
        <v>3</v>
      </c>
    </row>
    <row r="10" spans="1:19" ht="15" customHeight="1" x14ac:dyDescent="0.3">
      <c r="A10" s="314"/>
      <c r="B10" s="59">
        <v>44927</v>
      </c>
      <c r="C10" s="315">
        <v>45016</v>
      </c>
      <c r="D10" s="59">
        <v>45107</v>
      </c>
      <c r="E10" s="315">
        <v>45199</v>
      </c>
      <c r="F10" s="59">
        <v>45291</v>
      </c>
    </row>
    <row r="11" spans="1:19" ht="15" customHeight="1" thickBot="1" x14ac:dyDescent="0.35">
      <c r="A11" s="316"/>
      <c r="B11" s="353" t="s">
        <v>107</v>
      </c>
      <c r="C11" s="354" t="s">
        <v>107</v>
      </c>
      <c r="D11" s="353" t="s">
        <v>107</v>
      </c>
      <c r="E11" s="354" t="s">
        <v>107</v>
      </c>
      <c r="F11" s="353" t="s">
        <v>107</v>
      </c>
    </row>
    <row r="12" spans="1:19" ht="15" customHeight="1" x14ac:dyDescent="0.3">
      <c r="A12" s="319" t="s">
        <v>4</v>
      </c>
      <c r="B12" s="369"/>
      <c r="C12" s="368"/>
      <c r="D12" s="369"/>
      <c r="E12" s="368"/>
      <c r="F12" s="369"/>
    </row>
    <row r="13" spans="1:19" ht="15" customHeight="1" x14ac:dyDescent="0.3">
      <c r="A13" s="322" t="s">
        <v>5</v>
      </c>
      <c r="B13" s="371"/>
      <c r="C13" s="373"/>
      <c r="D13" s="371"/>
      <c r="E13" s="373"/>
      <c r="F13" s="371"/>
    </row>
    <row r="14" spans="1:19" ht="15" customHeight="1" x14ac:dyDescent="0.3">
      <c r="A14" s="324" t="s">
        <v>6</v>
      </c>
      <c r="B14" s="371">
        <v>2906344.3</v>
      </c>
      <c r="C14" s="371">
        <v>2854985.1</v>
      </c>
      <c r="D14" s="371">
        <v>2880640.94</v>
      </c>
      <c r="E14" s="373">
        <v>2673239.46</v>
      </c>
      <c r="F14" s="371">
        <v>2415351.42</v>
      </c>
      <c r="G14" s="1473"/>
      <c r="H14" s="1474"/>
      <c r="I14" s="1474"/>
      <c r="J14" s="1474"/>
      <c r="K14" s="1474"/>
      <c r="L14" s="1474"/>
      <c r="M14" s="1474"/>
      <c r="N14" s="1474"/>
      <c r="O14" s="1474"/>
      <c r="P14" s="1474"/>
      <c r="Q14" s="1474"/>
      <c r="R14" s="1474"/>
      <c r="S14" s="1474"/>
    </row>
    <row r="15" spans="1:19" ht="15" customHeight="1" x14ac:dyDescent="0.3">
      <c r="A15" s="325" t="s">
        <v>7</v>
      </c>
      <c r="B15" s="371">
        <v>1964164.8</v>
      </c>
      <c r="C15" s="371">
        <v>1924511.17</v>
      </c>
      <c r="D15" s="371">
        <v>2263606.69</v>
      </c>
      <c r="E15" s="373">
        <v>2606483.89</v>
      </c>
      <c r="F15" s="371">
        <v>2114008.64</v>
      </c>
    </row>
    <row r="16" spans="1:19" ht="15" customHeight="1" x14ac:dyDescent="0.3">
      <c r="A16" s="325" t="s">
        <v>8</v>
      </c>
      <c r="B16" s="371">
        <v>-36767.82</v>
      </c>
      <c r="C16" s="371">
        <v>438462.52</v>
      </c>
      <c r="D16" s="371">
        <v>438462.52</v>
      </c>
      <c r="E16" s="373">
        <v>484882.36</v>
      </c>
      <c r="F16" s="371">
        <v>475624.2</v>
      </c>
    </row>
    <row r="17" spans="1:6" ht="15" customHeight="1" x14ac:dyDescent="0.3">
      <c r="A17" s="325" t="s">
        <v>9</v>
      </c>
      <c r="B17" s="371">
        <v>0</v>
      </c>
      <c r="C17" s="371">
        <v>0</v>
      </c>
      <c r="D17" s="371">
        <v>0</v>
      </c>
      <c r="E17" s="371">
        <v>0</v>
      </c>
      <c r="F17" s="371">
        <v>0</v>
      </c>
    </row>
    <row r="18" spans="1:6" ht="15" customHeight="1" x14ac:dyDescent="0.3">
      <c r="A18" s="325" t="s">
        <v>10</v>
      </c>
      <c r="B18" s="371">
        <v>0</v>
      </c>
      <c r="C18" s="371">
        <v>-469288.71</v>
      </c>
      <c r="D18" s="371">
        <v>-688113.87</v>
      </c>
      <c r="E18" s="373">
        <v>-688113.87</v>
      </c>
      <c r="F18" s="371">
        <v>-688113.87</v>
      </c>
    </row>
    <row r="19" spans="1:6" ht="15" customHeight="1" x14ac:dyDescent="0.3">
      <c r="A19" s="326" t="s">
        <v>11</v>
      </c>
      <c r="B19" s="374">
        <v>0</v>
      </c>
      <c r="C19" s="371">
        <v>0</v>
      </c>
      <c r="D19" s="371">
        <v>0</v>
      </c>
      <c r="E19" s="373">
        <v>0</v>
      </c>
      <c r="F19" s="371">
        <v>0</v>
      </c>
    </row>
    <row r="20" spans="1:6" ht="15" customHeight="1" x14ac:dyDescent="0.3">
      <c r="A20" s="327" t="s">
        <v>12</v>
      </c>
      <c r="B20" s="377">
        <f>SUM(B14:B19)</f>
        <v>4833741.2799999993</v>
      </c>
      <c r="C20" s="396">
        <f>SUM(C14:C19)</f>
        <v>4748670.0799999991</v>
      </c>
      <c r="D20" s="377">
        <f>SUM(D14:D19)</f>
        <v>4894596.28</v>
      </c>
      <c r="E20" s="396">
        <f>SUM(E14:E19)</f>
        <v>5076491.84</v>
      </c>
      <c r="F20" s="377">
        <f>SUM(F14:F19)</f>
        <v>4316870.3900000006</v>
      </c>
    </row>
    <row r="21" spans="1:6" ht="15" customHeight="1" x14ac:dyDescent="0.3">
      <c r="A21" s="328"/>
      <c r="B21" s="380"/>
      <c r="C21" s="382"/>
      <c r="D21" s="380"/>
      <c r="E21" s="382"/>
      <c r="F21" s="380"/>
    </row>
    <row r="22" spans="1:6" ht="15" customHeight="1" x14ac:dyDescent="0.3">
      <c r="A22" s="329" t="s">
        <v>13</v>
      </c>
      <c r="B22" s="371"/>
      <c r="C22" s="373"/>
      <c r="D22" s="371"/>
      <c r="E22" s="373"/>
      <c r="F22" s="371"/>
    </row>
    <row r="23" spans="1:6" ht="15" customHeight="1" x14ac:dyDescent="0.3">
      <c r="A23" s="325" t="s">
        <v>14</v>
      </c>
      <c r="B23" s="371">
        <v>0</v>
      </c>
      <c r="C23" s="373">
        <v>0</v>
      </c>
      <c r="D23" s="371">
        <v>0</v>
      </c>
      <c r="E23" s="373">
        <v>0</v>
      </c>
      <c r="F23" s="371">
        <v>0</v>
      </c>
    </row>
    <row r="24" spans="1:6" ht="15" customHeight="1" x14ac:dyDescent="0.3">
      <c r="A24" s="325" t="s">
        <v>15</v>
      </c>
      <c r="B24" s="371">
        <v>0</v>
      </c>
      <c r="C24" s="373">
        <v>0</v>
      </c>
      <c r="D24" s="371">
        <v>0</v>
      </c>
      <c r="E24" s="373">
        <v>0</v>
      </c>
      <c r="F24" s="371">
        <v>0</v>
      </c>
    </row>
    <row r="25" spans="1:6" ht="15" customHeight="1" x14ac:dyDescent="0.3">
      <c r="A25" s="325" t="s">
        <v>16</v>
      </c>
      <c r="B25" s="371">
        <v>0</v>
      </c>
      <c r="C25" s="373">
        <v>0</v>
      </c>
      <c r="D25" s="371">
        <v>0</v>
      </c>
      <c r="E25" s="373">
        <v>0</v>
      </c>
      <c r="F25" s="371">
        <v>0</v>
      </c>
    </row>
    <row r="26" spans="1:6" ht="15" customHeight="1" x14ac:dyDescent="0.3">
      <c r="A26" s="325" t="s">
        <v>17</v>
      </c>
      <c r="B26" s="371">
        <v>0</v>
      </c>
      <c r="C26" s="373">
        <v>0</v>
      </c>
      <c r="D26" s="371">
        <v>0</v>
      </c>
      <c r="E26" s="373">
        <v>0</v>
      </c>
      <c r="F26" s="371">
        <v>0</v>
      </c>
    </row>
    <row r="27" spans="1:6" ht="15" customHeight="1" x14ac:dyDescent="0.3">
      <c r="A27" s="325" t="s">
        <v>119</v>
      </c>
      <c r="B27" s="371">
        <v>0</v>
      </c>
      <c r="C27" s="373">
        <v>0</v>
      </c>
      <c r="D27" s="371">
        <v>0</v>
      </c>
      <c r="E27" s="373">
        <v>0</v>
      </c>
      <c r="F27" s="371">
        <v>0</v>
      </c>
    </row>
    <row r="28" spans="1:6" ht="15" customHeight="1" x14ac:dyDescent="0.3">
      <c r="A28" s="325" t="s">
        <v>118</v>
      </c>
      <c r="B28" s="371">
        <v>0</v>
      </c>
      <c r="C28" s="373">
        <v>0</v>
      </c>
      <c r="D28" s="371">
        <v>0</v>
      </c>
      <c r="E28" s="373">
        <v>0</v>
      </c>
      <c r="F28" s="371">
        <v>0</v>
      </c>
    </row>
    <row r="29" spans="1:6" ht="15" customHeight="1" x14ac:dyDescent="0.3">
      <c r="A29" s="326" t="s">
        <v>18</v>
      </c>
      <c r="B29" s="374">
        <v>0</v>
      </c>
      <c r="C29" s="373">
        <v>0</v>
      </c>
      <c r="D29" s="374">
        <v>0</v>
      </c>
      <c r="E29" s="375">
        <v>0</v>
      </c>
      <c r="F29" s="374">
        <v>0</v>
      </c>
    </row>
    <row r="30" spans="1:6" ht="15" customHeight="1" x14ac:dyDescent="0.3">
      <c r="A30" s="327" t="s">
        <v>19</v>
      </c>
      <c r="B30" s="377">
        <f>SUM(B23:B29)</f>
        <v>0</v>
      </c>
      <c r="C30" s="396">
        <f>SUM(C23:C29)</f>
        <v>0</v>
      </c>
      <c r="D30" s="377">
        <f>SUM(D23:D29)</f>
        <v>0</v>
      </c>
      <c r="E30" s="396">
        <f>SUM(E23:E29)</f>
        <v>0</v>
      </c>
      <c r="F30" s="377">
        <f>SUM(F23:F29)</f>
        <v>0</v>
      </c>
    </row>
    <row r="31" spans="1:6" ht="15" customHeight="1" x14ac:dyDescent="0.3">
      <c r="A31" s="328"/>
      <c r="B31" s="380"/>
      <c r="C31" s="382"/>
      <c r="D31" s="380"/>
      <c r="E31" s="382"/>
      <c r="F31" s="380"/>
    </row>
    <row r="32" spans="1:6" ht="15" customHeight="1" x14ac:dyDescent="0.3">
      <c r="A32" s="329" t="s">
        <v>20</v>
      </c>
      <c r="B32" s="385"/>
      <c r="C32" s="387"/>
      <c r="D32" s="385"/>
      <c r="E32" s="387"/>
      <c r="F32" s="385"/>
    </row>
    <row r="33" spans="1:6" ht="15" customHeight="1" x14ac:dyDescent="0.3">
      <c r="A33" s="306" t="s">
        <v>21</v>
      </c>
      <c r="B33" s="385">
        <v>716335.28</v>
      </c>
      <c r="C33" s="385">
        <v>716335</v>
      </c>
      <c r="D33" s="385">
        <v>716335</v>
      </c>
      <c r="E33" s="387">
        <v>716335</v>
      </c>
      <c r="F33" s="385">
        <v>716335</v>
      </c>
    </row>
    <row r="34" spans="1:6" ht="15" customHeight="1" x14ac:dyDescent="0.3">
      <c r="A34" s="306" t="s">
        <v>22</v>
      </c>
      <c r="B34" s="385">
        <v>52221</v>
      </c>
      <c r="C34" s="385">
        <v>55661.61</v>
      </c>
      <c r="D34" s="385">
        <v>57274.53</v>
      </c>
      <c r="E34" s="387">
        <v>82210.84</v>
      </c>
      <c r="F34" s="385">
        <v>91081.9</v>
      </c>
    </row>
    <row r="35" spans="1:6" ht="15" customHeight="1" x14ac:dyDescent="0.3">
      <c r="A35" s="306" t="s">
        <v>23</v>
      </c>
      <c r="B35" s="385">
        <v>7601</v>
      </c>
      <c r="C35" s="385">
        <v>7601</v>
      </c>
      <c r="D35" s="385">
        <v>7601</v>
      </c>
      <c r="E35" s="387">
        <v>8876.32</v>
      </c>
      <c r="F35" s="385">
        <v>8876.32</v>
      </c>
    </row>
    <row r="36" spans="1:6" ht="15" customHeight="1" x14ac:dyDescent="0.3">
      <c r="A36" s="306" t="s">
        <v>24</v>
      </c>
      <c r="B36" s="385">
        <v>61463</v>
      </c>
      <c r="C36" s="385">
        <v>66019.39</v>
      </c>
      <c r="D36" s="385">
        <v>66019.39</v>
      </c>
      <c r="E36" s="387">
        <v>66019.39</v>
      </c>
      <c r="F36" s="385">
        <v>68783.569999999992</v>
      </c>
    </row>
    <row r="37" spans="1:6" ht="15" customHeight="1" x14ac:dyDescent="0.3">
      <c r="A37" s="306" t="s">
        <v>25</v>
      </c>
      <c r="B37" s="385">
        <v>19997</v>
      </c>
      <c r="C37" s="385">
        <v>19997</v>
      </c>
      <c r="D37" s="385">
        <v>19997</v>
      </c>
      <c r="E37" s="387">
        <v>19997</v>
      </c>
      <c r="F37" s="385">
        <v>19997</v>
      </c>
    </row>
    <row r="38" spans="1:6" ht="15" customHeight="1" x14ac:dyDescent="0.3">
      <c r="A38" s="307" t="s">
        <v>26</v>
      </c>
      <c r="B38" s="388">
        <v>0</v>
      </c>
      <c r="C38" s="388">
        <v>0</v>
      </c>
      <c r="D38" s="388">
        <v>0</v>
      </c>
      <c r="E38" s="387">
        <v>0</v>
      </c>
      <c r="F38" s="385">
        <v>0</v>
      </c>
    </row>
    <row r="39" spans="1:6" ht="15" customHeight="1" x14ac:dyDescent="0.3">
      <c r="A39" s="327" t="s">
        <v>27</v>
      </c>
      <c r="B39" s="377">
        <f>SUM(B32:B38)</f>
        <v>857617.28</v>
      </c>
      <c r="C39" s="396">
        <f>SUM(C32:C38)</f>
        <v>865614</v>
      </c>
      <c r="D39" s="377">
        <f>SUM(D32:D38)</f>
        <v>867226.92</v>
      </c>
      <c r="E39" s="396">
        <f>SUM(E32:E38)</f>
        <v>893438.54999999993</v>
      </c>
      <c r="F39" s="377">
        <f>SUM(F32:F38)</f>
        <v>905073.78999999992</v>
      </c>
    </row>
    <row r="40" spans="1:6" ht="15" customHeight="1" x14ac:dyDescent="0.3">
      <c r="A40" s="330"/>
      <c r="B40" s="390"/>
      <c r="C40" s="392"/>
      <c r="D40" s="390"/>
      <c r="E40" s="392"/>
      <c r="F40" s="390"/>
    </row>
    <row r="41" spans="1:6" ht="15" customHeight="1" x14ac:dyDescent="0.3">
      <c r="A41" s="322" t="s">
        <v>28</v>
      </c>
      <c r="B41" s="385">
        <v>0</v>
      </c>
      <c r="C41" s="385">
        <v>0</v>
      </c>
      <c r="D41" s="385">
        <v>0</v>
      </c>
      <c r="E41" s="385">
        <v>0</v>
      </c>
      <c r="F41" s="385">
        <v>0</v>
      </c>
    </row>
    <row r="42" spans="1:6" ht="15" customHeight="1" x14ac:dyDescent="0.3">
      <c r="A42" s="331"/>
      <c r="B42" s="388"/>
      <c r="C42" s="388"/>
      <c r="D42" s="388"/>
      <c r="E42" s="388"/>
      <c r="F42" s="388"/>
    </row>
    <row r="43" spans="1:6" ht="15" customHeight="1" x14ac:dyDescent="0.3">
      <c r="A43" s="327" t="s">
        <v>29</v>
      </c>
      <c r="B43" s="377">
        <f>B20+B30+B39+B41</f>
        <v>5691358.5599999996</v>
      </c>
      <c r="C43" s="396">
        <f>C20+C30+C39+C41</f>
        <v>5614284.0799999991</v>
      </c>
      <c r="D43" s="377">
        <f>D20+D30+D39+D41</f>
        <v>5761823.2000000002</v>
      </c>
      <c r="E43" s="396">
        <f>E20+E30+E39+E41</f>
        <v>5969930.3899999997</v>
      </c>
      <c r="F43" s="377">
        <f>F20+F30+F39+F41</f>
        <v>5221944.1800000006</v>
      </c>
    </row>
    <row r="44" spans="1:6" ht="15" customHeight="1" x14ac:dyDescent="0.3">
      <c r="A44" s="332"/>
      <c r="B44" s="398"/>
      <c r="C44" s="400"/>
      <c r="D44" s="398"/>
      <c r="E44" s="400"/>
      <c r="F44" s="398"/>
    </row>
    <row r="45" spans="1:6" ht="15" customHeight="1" x14ac:dyDescent="0.3">
      <c r="A45" s="322" t="s">
        <v>30</v>
      </c>
      <c r="B45" s="385"/>
      <c r="C45" s="387"/>
      <c r="D45" s="385"/>
      <c r="E45" s="387"/>
      <c r="F45" s="385"/>
    </row>
    <row r="46" spans="1:6" ht="15" customHeight="1" x14ac:dyDescent="0.3">
      <c r="A46" s="333"/>
      <c r="B46" s="385"/>
      <c r="C46" s="387"/>
      <c r="D46" s="385"/>
      <c r="E46" s="387"/>
      <c r="F46" s="385"/>
    </row>
    <row r="47" spans="1:6" ht="15" customHeight="1" x14ac:dyDescent="0.3">
      <c r="A47" s="322" t="s">
        <v>31</v>
      </c>
      <c r="B47" s="371"/>
      <c r="C47" s="373"/>
      <c r="D47" s="371"/>
      <c r="E47" s="373"/>
      <c r="F47" s="371"/>
    </row>
    <row r="48" spans="1:6" ht="15" customHeight="1" x14ac:dyDescent="0.3">
      <c r="A48" s="306" t="s">
        <v>32</v>
      </c>
      <c r="B48" s="385">
        <v>579935</v>
      </c>
      <c r="C48" s="385">
        <v>315702.90000000002</v>
      </c>
      <c r="D48" s="385">
        <v>307503.69</v>
      </c>
      <c r="E48" s="387">
        <v>737882.1</v>
      </c>
      <c r="F48" s="385">
        <v>457520.11</v>
      </c>
    </row>
    <row r="49" spans="1:6" ht="15" customHeight="1" x14ac:dyDescent="0.3">
      <c r="A49" s="334" t="s">
        <v>50</v>
      </c>
      <c r="B49" s="385">
        <v>0</v>
      </c>
      <c r="C49" s="385">
        <v>0</v>
      </c>
      <c r="D49" s="385">
        <v>0</v>
      </c>
      <c r="E49" s="385">
        <v>0</v>
      </c>
      <c r="F49" s="385">
        <v>0</v>
      </c>
    </row>
    <row r="50" spans="1:6" ht="15" customHeight="1" x14ac:dyDescent="0.3">
      <c r="A50" s="334" t="s">
        <v>168</v>
      </c>
      <c r="B50" s="385">
        <v>0</v>
      </c>
      <c r="C50" s="385">
        <v>0</v>
      </c>
      <c r="D50" s="385">
        <v>0</v>
      </c>
      <c r="E50" s="385">
        <v>0</v>
      </c>
      <c r="F50" s="385">
        <v>0</v>
      </c>
    </row>
    <row r="51" spans="1:6" ht="15" customHeight="1" x14ac:dyDescent="0.3">
      <c r="A51" s="334" t="s">
        <v>109</v>
      </c>
      <c r="B51" s="385">
        <v>0</v>
      </c>
      <c r="C51" s="385">
        <v>0</v>
      </c>
      <c r="D51" s="385">
        <v>0</v>
      </c>
      <c r="E51" s="385">
        <v>0</v>
      </c>
      <c r="F51" s="385">
        <v>0</v>
      </c>
    </row>
    <row r="52" spans="1:6" ht="15" customHeight="1" x14ac:dyDescent="0.3">
      <c r="A52" s="334" t="s">
        <v>33</v>
      </c>
      <c r="B52" s="385">
        <v>10927</v>
      </c>
      <c r="C52" s="385">
        <v>10926.84</v>
      </c>
      <c r="D52" s="385">
        <v>10926.83</v>
      </c>
      <c r="E52" s="387">
        <v>11085.98</v>
      </c>
      <c r="F52" s="385">
        <v>11085.99</v>
      </c>
    </row>
    <row r="53" spans="1:6" ht="15" customHeight="1" x14ac:dyDescent="0.3">
      <c r="A53" s="334" t="s">
        <v>34</v>
      </c>
      <c r="B53" s="385">
        <v>0</v>
      </c>
      <c r="C53" s="385">
        <v>0</v>
      </c>
      <c r="D53" s="385">
        <v>0</v>
      </c>
      <c r="E53" s="385">
        <v>0</v>
      </c>
      <c r="F53" s="385">
        <v>0</v>
      </c>
    </row>
    <row r="54" spans="1:6" ht="15" customHeight="1" x14ac:dyDescent="0.3">
      <c r="A54" s="306" t="s">
        <v>35</v>
      </c>
      <c r="B54" s="385">
        <v>-267476</v>
      </c>
      <c r="C54" s="385">
        <v>-267475.63</v>
      </c>
      <c r="D54" s="385">
        <v>-275573.83</v>
      </c>
      <c r="E54" s="387">
        <v>-275573.83</v>
      </c>
      <c r="F54" s="385">
        <v>-275573.83</v>
      </c>
    </row>
    <row r="55" spans="1:6" ht="15" customHeight="1" x14ac:dyDescent="0.3">
      <c r="A55" s="306" t="s">
        <v>36</v>
      </c>
      <c r="B55" s="385">
        <v>0</v>
      </c>
      <c r="C55" s="385">
        <v>0</v>
      </c>
      <c r="D55" s="385">
        <v>0</v>
      </c>
      <c r="E55" s="385">
        <v>0</v>
      </c>
      <c r="F55" s="385">
        <v>0</v>
      </c>
    </row>
    <row r="56" spans="1:6" ht="15" customHeight="1" x14ac:dyDescent="0.3">
      <c r="A56" s="307" t="s">
        <v>37</v>
      </c>
      <c r="B56" s="388">
        <v>25173.410000000003</v>
      </c>
      <c r="C56" s="388">
        <v>35372.960000000014</v>
      </c>
      <c r="D56" s="388">
        <v>37873.840000000018</v>
      </c>
      <c r="E56" s="387">
        <v>-156335.72</v>
      </c>
      <c r="F56" s="385">
        <v>29230.409999999993</v>
      </c>
    </row>
    <row r="57" spans="1:6" ht="15" customHeight="1" x14ac:dyDescent="0.3">
      <c r="A57" s="327" t="s">
        <v>38</v>
      </c>
      <c r="B57" s="377">
        <f>SUM(B48:B56)</f>
        <v>348559.41000000003</v>
      </c>
      <c r="C57" s="396">
        <f>SUM(C48:C56)</f>
        <v>94527.070000000065</v>
      </c>
      <c r="D57" s="377">
        <f>SUM(D48:D56)</f>
        <v>80730.530000000028</v>
      </c>
      <c r="E57" s="396">
        <f>SUM(E48:E56)</f>
        <v>317058.52999999991</v>
      </c>
      <c r="F57" s="377">
        <f>SUM(F48:F56)</f>
        <v>222262.67999999996</v>
      </c>
    </row>
    <row r="58" spans="1:6" ht="15" customHeight="1" x14ac:dyDescent="0.3">
      <c r="A58" s="335"/>
      <c r="B58" s="380"/>
      <c r="C58" s="382"/>
      <c r="D58" s="380"/>
      <c r="E58" s="382"/>
      <c r="F58" s="380"/>
    </row>
    <row r="59" spans="1:6" ht="15" customHeight="1" x14ac:dyDescent="0.3">
      <c r="A59" s="322" t="s">
        <v>39</v>
      </c>
      <c r="B59" s="385"/>
      <c r="C59" s="387"/>
      <c r="D59" s="385"/>
      <c r="E59" s="387"/>
      <c r="F59" s="385"/>
    </row>
    <row r="60" spans="1:6" ht="15" customHeight="1" x14ac:dyDescent="0.3">
      <c r="A60" s="306" t="s">
        <v>117</v>
      </c>
      <c r="B60" s="385">
        <v>0</v>
      </c>
      <c r="C60" s="385">
        <v>0</v>
      </c>
      <c r="D60" s="385">
        <v>0</v>
      </c>
      <c r="E60" s="387">
        <v>0</v>
      </c>
      <c r="F60" s="385">
        <v>0</v>
      </c>
    </row>
    <row r="61" spans="1:6" ht="15" customHeight="1" x14ac:dyDescent="0.3">
      <c r="A61" s="306" t="s">
        <v>40</v>
      </c>
      <c r="B61" s="385">
        <v>0</v>
      </c>
      <c r="C61" s="385">
        <v>0</v>
      </c>
      <c r="D61" s="385">
        <v>0</v>
      </c>
      <c r="E61" s="387">
        <v>0</v>
      </c>
      <c r="F61" s="385">
        <v>0</v>
      </c>
    </row>
    <row r="62" spans="1:6" ht="15" customHeight="1" x14ac:dyDescent="0.3">
      <c r="A62" s="308"/>
      <c r="B62" s="388"/>
      <c r="C62" s="395"/>
      <c r="D62" s="388"/>
      <c r="E62" s="395"/>
      <c r="F62" s="388"/>
    </row>
    <row r="63" spans="1:6" ht="15" customHeight="1" x14ac:dyDescent="0.3">
      <c r="A63" s="327" t="s">
        <v>41</v>
      </c>
      <c r="B63" s="377">
        <f>SUM(B60:B62)</f>
        <v>0</v>
      </c>
      <c r="C63" s="396">
        <f>SUM(C60:C62)</f>
        <v>0</v>
      </c>
      <c r="D63" s="377">
        <f>SUM(D60:D62)</f>
        <v>0</v>
      </c>
      <c r="E63" s="396">
        <f>SUM(E60:E62)</f>
        <v>0</v>
      </c>
      <c r="F63" s="377">
        <f>SUM(F60:F62)</f>
        <v>0</v>
      </c>
    </row>
    <row r="64" spans="1:6" ht="15" customHeight="1" x14ac:dyDescent="0.3">
      <c r="A64" s="335"/>
      <c r="B64" s="380"/>
      <c r="C64" s="382"/>
      <c r="D64" s="380"/>
      <c r="E64" s="382"/>
      <c r="F64" s="380"/>
    </row>
    <row r="65" spans="1:6" ht="15" customHeight="1" x14ac:dyDescent="0.3">
      <c r="A65" s="322" t="s">
        <v>42</v>
      </c>
      <c r="B65" s="385"/>
      <c r="C65" s="387"/>
      <c r="D65" s="385"/>
      <c r="E65" s="387"/>
      <c r="F65" s="385"/>
    </row>
    <row r="66" spans="1:6" ht="15" customHeight="1" x14ac:dyDescent="0.3">
      <c r="A66" s="306" t="s">
        <v>43</v>
      </c>
      <c r="B66" s="385">
        <v>4068863</v>
      </c>
      <c r="C66" s="385">
        <v>5330061.9099999992</v>
      </c>
      <c r="D66" s="385">
        <v>5330373.1099999994</v>
      </c>
      <c r="E66" s="387">
        <v>5313537.79</v>
      </c>
      <c r="F66" s="385">
        <v>5315373.96</v>
      </c>
    </row>
    <row r="67" spans="1:6" ht="15" customHeight="1" x14ac:dyDescent="0.3">
      <c r="A67" s="306" t="s">
        <v>44</v>
      </c>
      <c r="B67" s="385">
        <v>0</v>
      </c>
      <c r="C67" s="385">
        <v>0</v>
      </c>
      <c r="D67" s="385">
        <v>0</v>
      </c>
      <c r="E67" s="385">
        <v>0</v>
      </c>
      <c r="F67" s="385">
        <v>0</v>
      </c>
    </row>
    <row r="68" spans="1:6" ht="15" customHeight="1" x14ac:dyDescent="0.3">
      <c r="A68" s="306" t="s">
        <v>45</v>
      </c>
      <c r="B68" s="385">
        <v>0</v>
      </c>
      <c r="C68" s="385">
        <v>0</v>
      </c>
      <c r="D68" s="385">
        <v>0</v>
      </c>
      <c r="E68" s="385">
        <v>0</v>
      </c>
      <c r="F68" s="385">
        <v>0</v>
      </c>
    </row>
    <row r="69" spans="1:6" ht="15" customHeight="1" x14ac:dyDescent="0.3">
      <c r="A69" s="307" t="s">
        <v>46</v>
      </c>
      <c r="B69" s="388">
        <v>1273936</v>
      </c>
      <c r="C69" s="388">
        <v>189695.1</v>
      </c>
      <c r="D69" s="388">
        <v>350719.56</v>
      </c>
      <c r="E69" s="387">
        <v>339334.07</v>
      </c>
      <c r="F69" s="385">
        <v>-315692.46000000002</v>
      </c>
    </row>
    <row r="70" spans="1:6" ht="15" customHeight="1" x14ac:dyDescent="0.3">
      <c r="A70" s="327" t="s">
        <v>47</v>
      </c>
      <c r="B70" s="377">
        <f>SUM(B66:B69)</f>
        <v>5342799</v>
      </c>
      <c r="C70" s="396">
        <f>SUM(C66:C69)</f>
        <v>5519757.0099999988</v>
      </c>
      <c r="D70" s="377">
        <f>SUM(D66:D69)</f>
        <v>5681092.669999999</v>
      </c>
      <c r="E70" s="396">
        <f>SUM(E66:E69)</f>
        <v>5652871.8600000003</v>
      </c>
      <c r="F70" s="377">
        <f>SUM(F66:F69)</f>
        <v>4999681.5</v>
      </c>
    </row>
    <row r="71" spans="1:6" ht="15.75" customHeight="1" x14ac:dyDescent="0.3">
      <c r="A71" s="336"/>
      <c r="B71" s="407"/>
      <c r="C71" s="409"/>
      <c r="D71" s="407"/>
      <c r="E71" s="409"/>
      <c r="F71" s="407"/>
    </row>
    <row r="72" spans="1:6" ht="16.5" customHeight="1" thickBot="1" x14ac:dyDescent="0.35">
      <c r="A72" s="337" t="s">
        <v>48</v>
      </c>
      <c r="B72" s="411">
        <f>B70+B63+B57</f>
        <v>5691358.4100000001</v>
      </c>
      <c r="C72" s="413">
        <f>C70+C63+C57</f>
        <v>5614284.0799999991</v>
      </c>
      <c r="D72" s="411">
        <f>D70+D63+D57</f>
        <v>5761823.1999999993</v>
      </c>
      <c r="E72" s="413">
        <f>E70+E63+E57</f>
        <v>5969930.3900000006</v>
      </c>
      <c r="F72" s="411">
        <f>F70+F63+F57</f>
        <v>5221944.18</v>
      </c>
    </row>
  </sheetData>
  <sheetProtection algorithmName="SHA-512" hashValue="zI7ez7gm6mYbptTSqfgrJl0fVku2+g3s+Axsui+hLIPBmYEsQPfqehwa3LdpLDpcR/MoR3Sj1o51H+rpEbNw7A==" saltValue="dbYPLoEieITK/qchPLU3Fg==" spinCount="100000" sheet="1" objects="1" scenarios="1"/>
  <mergeCells count="7">
    <mergeCell ref="G14:S14"/>
    <mergeCell ref="A1:F1"/>
    <mergeCell ref="A3:F3"/>
    <mergeCell ref="A4:F4"/>
    <mergeCell ref="A5:F5"/>
    <mergeCell ref="A6:F6"/>
    <mergeCell ref="A7:F7"/>
  </mergeCells>
  <pageMargins left="0.7" right="0.7" top="0.75" bottom="0.75" header="0.3" footer="0.3"/>
  <pageSetup scale="33"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pageSetUpPr fitToPage="1"/>
  </sheetPr>
  <dimension ref="A1:AG83"/>
  <sheetViews>
    <sheetView zoomScale="60" zoomScaleNormal="60" zoomScalePageLayoutView="80" workbookViewId="0">
      <pane xSplit="1" ySplit="11" topLeftCell="B75" activePane="bottomRight" state="frozen"/>
      <selection pane="topRight" activeCell="B1" sqref="B1"/>
      <selection pane="bottomLeft" activeCell="A12" sqref="A12"/>
      <selection pane="bottomRight" activeCell="A86" sqref="A86"/>
    </sheetView>
  </sheetViews>
  <sheetFormatPr defaultRowHeight="18.75" x14ac:dyDescent="0.3"/>
  <cols>
    <col min="1" max="1" width="64.85546875" style="49" customWidth="1"/>
    <col min="2" max="3" width="14.140625" style="414" customWidth="1"/>
    <col min="4" max="4" width="13.140625" style="414" customWidth="1"/>
    <col min="5" max="5" width="13.140625" style="304" customWidth="1"/>
    <col min="6" max="6" width="1" style="49" customWidth="1"/>
    <col min="7" max="7" width="14.5703125" style="414" customWidth="1"/>
    <col min="8" max="8" width="14.28515625" style="414" customWidth="1"/>
    <col min="9" max="9" width="12.140625" style="414" customWidth="1"/>
    <col min="10" max="10" width="12.42578125" style="304" customWidth="1"/>
    <col min="11" max="11" width="1.140625" style="49" customWidth="1"/>
    <col min="12" max="12" width="14" style="414" customWidth="1"/>
    <col min="13" max="13" width="14.140625" style="414" customWidth="1"/>
    <col min="14" max="14" width="12.85546875" style="414" customWidth="1"/>
    <col min="15" max="15" width="9" style="305" customWidth="1"/>
    <col min="16" max="16" width="1" style="49" customWidth="1"/>
    <col min="17" max="17" width="13.85546875" style="414" customWidth="1"/>
    <col min="18" max="18" width="13.140625" style="414" customWidth="1"/>
    <col min="19" max="19" width="12.85546875" style="414" customWidth="1"/>
    <col min="20" max="20" width="9.85546875" style="305" customWidth="1"/>
    <col min="21" max="21" width="1.28515625" style="49" customWidth="1"/>
    <col min="22" max="22" width="14.28515625" style="414" customWidth="1"/>
    <col min="23" max="23" width="14.140625" style="414" customWidth="1"/>
    <col min="24" max="24" width="13" style="414" customWidth="1"/>
    <col min="25" max="25" width="14.85546875" style="305" customWidth="1"/>
    <col min="26" max="26" width="1" style="49" customWidth="1"/>
    <col min="27" max="27" width="16.28515625" style="414" customWidth="1"/>
    <col min="28" max="28" width="13.7109375" style="414" customWidth="1"/>
    <col min="29" max="29" width="11.5703125" style="305" customWidth="1"/>
    <col min="30" max="30" width="1" style="49" customWidth="1"/>
    <col min="31" max="31" width="66.42578125" style="49" customWidth="1"/>
    <col min="32" max="16384" width="9.140625" style="49"/>
  </cols>
  <sheetData>
    <row r="1" spans="1:31" x14ac:dyDescent="0.3">
      <c r="A1" s="1431" t="s">
        <v>49</v>
      </c>
      <c r="B1" s="1432"/>
      <c r="C1" s="1432"/>
      <c r="D1" s="1432"/>
      <c r="E1" s="1432"/>
      <c r="F1" s="1432"/>
      <c r="G1" s="1432"/>
      <c r="H1" s="1432"/>
      <c r="I1" s="415"/>
      <c r="J1" s="88"/>
      <c r="K1" s="89"/>
      <c r="L1" s="416"/>
      <c r="M1" s="416"/>
      <c r="N1" s="416"/>
      <c r="O1" s="91"/>
      <c r="P1" s="120"/>
      <c r="Q1" s="415"/>
      <c r="R1" s="417"/>
      <c r="S1" s="429"/>
      <c r="T1" s="93"/>
      <c r="U1" s="120"/>
      <c r="V1" s="430"/>
      <c r="W1" s="430"/>
      <c r="X1" s="430"/>
      <c r="Y1" s="123"/>
      <c r="Z1" s="120"/>
      <c r="AA1" s="430"/>
      <c r="AB1" s="430"/>
      <c r="AC1" s="123"/>
      <c r="AD1" s="120"/>
      <c r="AE1" s="124"/>
    </row>
    <row r="2" spans="1:31" x14ac:dyDescent="0.3">
      <c r="A2" s="125"/>
      <c r="B2" s="125"/>
      <c r="C2" s="125"/>
      <c r="D2" s="125"/>
      <c r="E2" s="125"/>
      <c r="F2" s="125"/>
      <c r="G2" s="125"/>
      <c r="H2" s="125"/>
      <c r="I2" s="125"/>
      <c r="J2" s="125"/>
      <c r="K2" s="125"/>
      <c r="L2" s="125"/>
      <c r="M2" s="125"/>
      <c r="N2" s="125"/>
      <c r="O2" s="125"/>
      <c r="P2" s="125"/>
      <c r="Q2" s="125"/>
      <c r="R2" s="125"/>
      <c r="S2" s="125"/>
      <c r="T2" s="125"/>
      <c r="U2" s="97"/>
      <c r="V2" s="432"/>
      <c r="W2" s="432"/>
      <c r="X2" s="432"/>
      <c r="Y2" s="128"/>
      <c r="Z2" s="97"/>
      <c r="AA2" s="432"/>
      <c r="AB2" s="432"/>
      <c r="AC2" s="128"/>
      <c r="AD2" s="97"/>
      <c r="AE2" s="129"/>
    </row>
    <row r="3" spans="1:31" s="52" customFormat="1" x14ac:dyDescent="0.3">
      <c r="A3" s="1433" t="s">
        <v>185</v>
      </c>
      <c r="B3" s="1434"/>
      <c r="C3" s="1434"/>
      <c r="D3" s="1434"/>
      <c r="E3" s="1434"/>
      <c r="F3" s="1434"/>
      <c r="G3" s="1434"/>
      <c r="H3" s="1434"/>
      <c r="I3" s="420"/>
      <c r="J3" s="102"/>
      <c r="K3" s="103"/>
      <c r="L3" s="421"/>
      <c r="M3" s="421"/>
      <c r="N3" s="421"/>
      <c r="O3" s="105"/>
      <c r="P3" s="130"/>
      <c r="Q3" s="420"/>
      <c r="R3" s="422"/>
      <c r="S3" s="428"/>
      <c r="T3" s="107"/>
      <c r="U3" s="130"/>
      <c r="V3" s="433"/>
      <c r="W3" s="433"/>
      <c r="X3" s="433"/>
      <c r="Y3" s="132"/>
      <c r="Z3" s="130"/>
      <c r="AA3" s="433"/>
      <c r="AB3" s="433"/>
      <c r="AC3" s="132"/>
      <c r="AD3" s="130"/>
      <c r="AE3" s="133"/>
    </row>
    <row r="4" spans="1:31" x14ac:dyDescent="0.3">
      <c r="A4" s="1435" t="s">
        <v>51</v>
      </c>
      <c r="B4" s="1436"/>
      <c r="C4" s="1436"/>
      <c r="D4" s="1436"/>
      <c r="E4" s="1436"/>
      <c r="F4" s="1436"/>
      <c r="G4" s="1436"/>
      <c r="H4" s="1436"/>
      <c r="I4" s="418"/>
      <c r="J4" s="95"/>
      <c r="K4" s="108"/>
      <c r="L4" s="423"/>
      <c r="M4" s="423"/>
      <c r="N4" s="423"/>
      <c r="O4" s="110"/>
      <c r="P4" s="134"/>
      <c r="Q4" s="424"/>
      <c r="R4" s="425"/>
      <c r="S4" s="431"/>
      <c r="T4" s="113"/>
      <c r="U4" s="134"/>
      <c r="V4" s="432"/>
      <c r="W4" s="432"/>
      <c r="X4" s="432"/>
      <c r="Y4" s="128"/>
      <c r="Z4" s="134"/>
      <c r="AA4" s="432"/>
      <c r="AB4" s="432"/>
      <c r="AC4" s="128"/>
      <c r="AD4" s="134"/>
      <c r="AE4" s="129"/>
    </row>
    <row r="5" spans="1:31" x14ac:dyDescent="0.3">
      <c r="A5" s="1435" t="s">
        <v>52</v>
      </c>
      <c r="B5" s="1437"/>
      <c r="C5" s="1437"/>
      <c r="D5" s="1437"/>
      <c r="E5" s="1437"/>
      <c r="F5" s="1437"/>
      <c r="G5" s="1437"/>
      <c r="H5" s="1437"/>
      <c r="I5" s="418"/>
      <c r="J5" s="95"/>
      <c r="K5" s="108"/>
      <c r="L5" s="423"/>
      <c r="M5" s="423"/>
      <c r="N5" s="423"/>
      <c r="O5" s="110"/>
      <c r="P5" s="134"/>
      <c r="Q5" s="424"/>
      <c r="R5" s="425"/>
      <c r="S5" s="431"/>
      <c r="T5" s="113"/>
      <c r="U5" s="134"/>
      <c r="V5" s="432"/>
      <c r="W5" s="432"/>
      <c r="X5" s="432"/>
      <c r="Y5" s="128"/>
      <c r="Z5" s="134"/>
      <c r="AA5" s="432"/>
      <c r="AB5" s="432"/>
      <c r="AC5" s="128"/>
      <c r="AD5" s="134"/>
      <c r="AE5" s="129"/>
    </row>
    <row r="6" spans="1:31" s="52" customFormat="1" x14ac:dyDescent="0.3">
      <c r="A6" s="1433" t="s">
        <v>201</v>
      </c>
      <c r="B6" s="1468"/>
      <c r="C6" s="1468"/>
      <c r="D6" s="1468"/>
      <c r="E6" s="1468"/>
      <c r="F6" s="1468"/>
      <c r="G6" s="1468"/>
      <c r="H6" s="1468"/>
      <c r="I6" s="420"/>
      <c r="J6" s="102"/>
      <c r="K6" s="114"/>
      <c r="L6" s="426"/>
      <c r="M6" s="426"/>
      <c r="N6" s="426"/>
      <c r="O6" s="116"/>
      <c r="P6" s="130"/>
      <c r="Q6" s="427"/>
      <c r="R6" s="428"/>
      <c r="S6" s="428"/>
      <c r="T6" s="119"/>
      <c r="U6" s="130"/>
      <c r="V6" s="433"/>
      <c r="W6" s="433"/>
      <c r="X6" s="433"/>
      <c r="Y6" s="132"/>
      <c r="Z6" s="130"/>
      <c r="AA6" s="421"/>
      <c r="AB6" s="421"/>
      <c r="AC6" s="132"/>
      <c r="AD6" s="130"/>
      <c r="AE6" s="133"/>
    </row>
    <row r="7" spans="1:31" s="52" customFormat="1" x14ac:dyDescent="0.3">
      <c r="A7" s="1429" t="s">
        <v>2</v>
      </c>
      <c r="B7" s="1430"/>
      <c r="C7" s="1430"/>
      <c r="D7" s="1430"/>
      <c r="E7" s="1430"/>
      <c r="F7" s="1430"/>
      <c r="G7" s="1430"/>
      <c r="H7" s="1430"/>
      <c r="I7" s="420"/>
      <c r="J7" s="102"/>
      <c r="K7" s="114"/>
      <c r="L7" s="426"/>
      <c r="M7" s="426"/>
      <c r="N7" s="426"/>
      <c r="O7" s="116"/>
      <c r="P7" s="130"/>
      <c r="Q7" s="427"/>
      <c r="R7" s="428"/>
      <c r="S7" s="428"/>
      <c r="T7" s="119"/>
      <c r="U7" s="130"/>
      <c r="V7" s="433"/>
      <c r="W7" s="433"/>
      <c r="X7" s="433"/>
      <c r="Y7" s="132"/>
      <c r="Z7" s="130"/>
      <c r="AA7" s="433"/>
      <c r="AB7" s="433"/>
      <c r="AC7" s="132"/>
      <c r="AD7" s="130"/>
      <c r="AE7" s="133"/>
    </row>
    <row r="8" spans="1:31" ht="19.5" thickBot="1" x14ac:dyDescent="0.35">
      <c r="A8" s="135" t="s">
        <v>186</v>
      </c>
      <c r="B8" s="434"/>
      <c r="C8" s="432"/>
      <c r="D8" s="432"/>
      <c r="E8" s="137"/>
      <c r="F8" s="138"/>
      <c r="G8" s="432"/>
      <c r="H8" s="432"/>
      <c r="I8" s="432"/>
      <c r="J8" s="137"/>
      <c r="K8" s="138"/>
      <c r="L8" s="432"/>
      <c r="M8" s="432"/>
      <c r="N8" s="432"/>
      <c r="O8" s="128"/>
      <c r="P8" s="138"/>
      <c r="Q8" s="432"/>
      <c r="R8" s="432"/>
      <c r="S8" s="432"/>
      <c r="T8" s="128"/>
      <c r="U8" s="138"/>
      <c r="V8" s="432"/>
      <c r="W8" s="432"/>
      <c r="X8" s="432"/>
      <c r="Y8" s="128"/>
      <c r="Z8" s="138"/>
      <c r="AA8" s="432"/>
      <c r="AB8" s="432"/>
      <c r="AC8" s="128"/>
      <c r="AD8" s="138"/>
      <c r="AE8" s="139"/>
    </row>
    <row r="9" spans="1:31" x14ac:dyDescent="0.3">
      <c r="A9" s="140"/>
      <c r="B9" s="1446" t="s">
        <v>53</v>
      </c>
      <c r="C9" s="1447"/>
      <c r="D9" s="1448"/>
      <c r="E9" s="1449"/>
      <c r="F9" s="141"/>
      <c r="G9" s="1446" t="s">
        <v>54</v>
      </c>
      <c r="H9" s="1447"/>
      <c r="I9" s="1447"/>
      <c r="J9" s="1450"/>
      <c r="K9" s="141"/>
      <c r="L9" s="1451" t="s">
        <v>55</v>
      </c>
      <c r="M9" s="1452"/>
      <c r="N9" s="1452"/>
      <c r="O9" s="1453"/>
      <c r="P9" s="141"/>
      <c r="Q9" s="1454" t="s">
        <v>56</v>
      </c>
      <c r="R9" s="1448"/>
      <c r="S9" s="1448"/>
      <c r="T9" s="1449"/>
      <c r="U9" s="141"/>
      <c r="V9" s="1455" t="s">
        <v>57</v>
      </c>
      <c r="W9" s="1456"/>
      <c r="X9" s="1456"/>
      <c r="Y9" s="1457"/>
      <c r="Z9" s="141"/>
      <c r="AA9" s="1455" t="s">
        <v>196</v>
      </c>
      <c r="AB9" s="1456"/>
      <c r="AC9" s="1457"/>
      <c r="AD9" s="142"/>
      <c r="AE9" s="1439" t="s">
        <v>58</v>
      </c>
    </row>
    <row r="10" spans="1:31" ht="37.5" x14ac:dyDescent="0.3">
      <c r="A10" s="1303" t="s">
        <v>59</v>
      </c>
      <c r="B10" s="1290" t="s">
        <v>60</v>
      </c>
      <c r="C10" s="435" t="s">
        <v>61</v>
      </c>
      <c r="D10" s="1441" t="s">
        <v>62</v>
      </c>
      <c r="E10" s="1442"/>
      <c r="F10" s="145"/>
      <c r="G10" s="1288" t="s">
        <v>60</v>
      </c>
      <c r="H10" s="435" t="s">
        <v>61</v>
      </c>
      <c r="I10" s="1443" t="s">
        <v>62</v>
      </c>
      <c r="J10" s="1471"/>
      <c r="K10" s="1295"/>
      <c r="L10" s="1290" t="s">
        <v>60</v>
      </c>
      <c r="M10" s="435" t="s">
        <v>61</v>
      </c>
      <c r="N10" s="1443" t="s">
        <v>62</v>
      </c>
      <c r="O10" s="1470"/>
      <c r="P10" s="947"/>
      <c r="Q10" s="436" t="s">
        <v>60</v>
      </c>
      <c r="R10" s="437" t="s">
        <v>61</v>
      </c>
      <c r="S10" s="1445" t="s">
        <v>62</v>
      </c>
      <c r="T10" s="1442"/>
      <c r="U10" s="145"/>
      <c r="V10" s="436" t="s">
        <v>60</v>
      </c>
      <c r="W10" s="437" t="s">
        <v>61</v>
      </c>
      <c r="X10" s="1445" t="s">
        <v>62</v>
      </c>
      <c r="Y10" s="1442"/>
      <c r="Z10" s="145"/>
      <c r="AA10" s="438" t="s">
        <v>63</v>
      </c>
      <c r="AB10" s="1445" t="s">
        <v>64</v>
      </c>
      <c r="AC10" s="1442"/>
      <c r="AD10" s="149"/>
      <c r="AE10" s="1440"/>
    </row>
    <row r="11" spans="1:31" ht="19.5" thickBot="1" x14ac:dyDescent="0.35">
      <c r="A11" s="1304"/>
      <c r="B11" s="1289" t="s">
        <v>107</v>
      </c>
      <c r="C11" s="439" t="s">
        <v>107</v>
      </c>
      <c r="D11" s="440" t="s">
        <v>107</v>
      </c>
      <c r="E11" s="153" t="s">
        <v>65</v>
      </c>
      <c r="F11" s="948"/>
      <c r="G11" s="1289" t="s">
        <v>107</v>
      </c>
      <c r="H11" s="439" t="s">
        <v>107</v>
      </c>
      <c r="I11" s="441" t="s">
        <v>107</v>
      </c>
      <c r="J11" s="153" t="s">
        <v>65</v>
      </c>
      <c r="K11" s="1293"/>
      <c r="L11" s="1289" t="s">
        <v>107</v>
      </c>
      <c r="M11" s="439" t="s">
        <v>107</v>
      </c>
      <c r="N11" s="441" t="s">
        <v>107</v>
      </c>
      <c r="O11" s="1297" t="s">
        <v>65</v>
      </c>
      <c r="P11" s="154"/>
      <c r="Q11" s="442" t="s">
        <v>107</v>
      </c>
      <c r="R11" s="443" t="s">
        <v>107</v>
      </c>
      <c r="S11" s="444" t="s">
        <v>107</v>
      </c>
      <c r="T11" s="161" t="s">
        <v>65</v>
      </c>
      <c r="U11" s="154"/>
      <c r="V11" s="442" t="s">
        <v>107</v>
      </c>
      <c r="W11" s="443" t="s">
        <v>107</v>
      </c>
      <c r="X11" s="444" t="s">
        <v>107</v>
      </c>
      <c r="Y11" s="161" t="s">
        <v>65</v>
      </c>
      <c r="Z11" s="154"/>
      <c r="AA11" s="442" t="s">
        <v>107</v>
      </c>
      <c r="AB11" s="444" t="s">
        <v>107</v>
      </c>
      <c r="AC11" s="161" t="s">
        <v>65</v>
      </c>
      <c r="AD11" s="162"/>
      <c r="AE11" s="1440"/>
    </row>
    <row r="12" spans="1:31" x14ac:dyDescent="0.3">
      <c r="A12" s="1301"/>
      <c r="B12" s="1291"/>
      <c r="C12" s="445"/>
      <c r="D12" s="446"/>
      <c r="E12" s="1305"/>
      <c r="F12" s="932"/>
      <c r="G12" s="1291"/>
      <c r="H12" s="445"/>
      <c r="I12" s="446"/>
      <c r="J12" s="1296"/>
      <c r="K12" s="932"/>
      <c r="L12" s="1291"/>
      <c r="M12" s="445"/>
      <c r="N12" s="446"/>
      <c r="O12" s="866"/>
      <c r="P12" s="949"/>
      <c r="Q12" s="447"/>
      <c r="R12" s="446"/>
      <c r="S12" s="446"/>
      <c r="T12" s="866"/>
      <c r="U12" s="1324"/>
      <c r="V12" s="447"/>
      <c r="W12" s="446"/>
      <c r="X12" s="446"/>
      <c r="Y12" s="168"/>
      <c r="Z12" s="167"/>
      <c r="AA12" s="446"/>
      <c r="AB12" s="446"/>
      <c r="AC12" s="910"/>
      <c r="AD12" s="932"/>
      <c r="AE12" s="171"/>
    </row>
    <row r="13" spans="1:31" x14ac:dyDescent="0.3">
      <c r="A13" s="1302" t="s">
        <v>66</v>
      </c>
      <c r="B13" s="1278"/>
      <c r="C13" s="448"/>
      <c r="D13" s="448"/>
      <c r="E13" s="1161"/>
      <c r="F13" s="933"/>
      <c r="G13" s="1278"/>
      <c r="H13" s="448"/>
      <c r="I13" s="448"/>
      <c r="J13" s="1315"/>
      <c r="K13" s="933"/>
      <c r="L13" s="1278"/>
      <c r="M13" s="448"/>
      <c r="N13" s="448"/>
      <c r="O13" s="867"/>
      <c r="P13" s="933"/>
      <c r="Q13" s="1278"/>
      <c r="R13" s="448"/>
      <c r="S13" s="448"/>
      <c r="T13" s="867"/>
      <c r="U13" s="1284"/>
      <c r="V13" s="1278"/>
      <c r="W13" s="448"/>
      <c r="X13" s="448"/>
      <c r="Y13" s="176"/>
      <c r="Z13" s="179"/>
      <c r="AA13" s="448"/>
      <c r="AB13" s="448"/>
      <c r="AC13" s="911"/>
      <c r="AD13" s="933"/>
      <c r="AE13" s="927"/>
    </row>
    <row r="14" spans="1:31" x14ac:dyDescent="0.3">
      <c r="A14" s="1272" t="s">
        <v>132</v>
      </c>
      <c r="B14" s="642">
        <v>0</v>
      </c>
      <c r="C14" s="451">
        <v>0</v>
      </c>
      <c r="D14" s="452">
        <f>C14-B14</f>
        <v>0</v>
      </c>
      <c r="E14" s="1306" t="str">
        <f>IF(ISERROR(D14/B14),"-",D14/B14)</f>
        <v>-</v>
      </c>
      <c r="F14" s="934"/>
      <c r="G14" s="642">
        <v>0</v>
      </c>
      <c r="H14" s="451">
        <v>0</v>
      </c>
      <c r="I14" s="452">
        <f>H14-G14</f>
        <v>0</v>
      </c>
      <c r="J14" s="1316" t="str">
        <f t="shared" ref="J14:J24" si="0">IF(ISERROR(I14/G14),"-",I14/G14)</f>
        <v>-</v>
      </c>
      <c r="K14" s="934"/>
      <c r="L14" s="642">
        <v>0</v>
      </c>
      <c r="M14" s="451">
        <v>0</v>
      </c>
      <c r="N14" s="452">
        <f>M14-L14</f>
        <v>0</v>
      </c>
      <c r="O14" s="868" t="str">
        <f t="shared" ref="O14:O25" si="1">IF(ISERROR(N14/L14),"-",N14/L14)</f>
        <v>-</v>
      </c>
      <c r="P14" s="934"/>
      <c r="Q14" s="642">
        <v>0</v>
      </c>
      <c r="R14" s="450">
        <v>0</v>
      </c>
      <c r="S14" s="452">
        <f>R14-Q14</f>
        <v>0</v>
      </c>
      <c r="T14" s="868" t="str">
        <f t="shared" ref="T14:T29" si="2">IF(ISERROR(S14/Q14),"-",S14/Q14)</f>
        <v>-</v>
      </c>
      <c r="U14" s="184"/>
      <c r="V14" s="450">
        <f>B14+G14+L14+Q14</f>
        <v>0</v>
      </c>
      <c r="W14" s="451">
        <f>C14+H14+M14+R14</f>
        <v>0</v>
      </c>
      <c r="X14" s="452">
        <f>W14-V14</f>
        <v>0</v>
      </c>
      <c r="Y14" s="185" t="str">
        <f t="shared" ref="Y14:Y20" si="3">IF(ISERROR(X14/V14),"-",X14/V14)</f>
        <v>-</v>
      </c>
      <c r="Z14" s="188"/>
      <c r="AA14" s="452">
        <v>1104372</v>
      </c>
      <c r="AB14" s="452">
        <f t="shared" ref="AB14:AB24" si="4">AA14-W14</f>
        <v>1104372</v>
      </c>
      <c r="AC14" s="912">
        <f t="shared" ref="AC14:AC25" si="5">IF(ISERROR(AB14/AA14),"-",AB14/AA14)</f>
        <v>1</v>
      </c>
      <c r="AD14" s="934"/>
      <c r="AE14" s="928"/>
    </row>
    <row r="15" spans="1:31" x14ac:dyDescent="0.3">
      <c r="A15" s="1299" t="s">
        <v>111</v>
      </c>
      <c r="B15" s="642">
        <v>0</v>
      </c>
      <c r="C15" s="451">
        <v>0</v>
      </c>
      <c r="D15" s="452">
        <f t="shared" ref="D15:D24" si="6">C15-B15</f>
        <v>0</v>
      </c>
      <c r="E15" s="1306" t="str">
        <f t="shared" ref="E15:E24" si="7">IF(ISERROR(D15/B15),"-",D15/B15)</f>
        <v>-</v>
      </c>
      <c r="F15" s="934"/>
      <c r="G15" s="642">
        <v>0</v>
      </c>
      <c r="H15" s="451">
        <v>0</v>
      </c>
      <c r="I15" s="452">
        <f t="shared" ref="I15:I24" si="8">H15-G15</f>
        <v>0</v>
      </c>
      <c r="J15" s="1316" t="str">
        <f t="shared" si="0"/>
        <v>-</v>
      </c>
      <c r="K15" s="934"/>
      <c r="L15" s="642">
        <v>0</v>
      </c>
      <c r="M15" s="451">
        <v>0</v>
      </c>
      <c r="N15" s="452">
        <f t="shared" ref="N15:N24" si="9">M15-L15</f>
        <v>0</v>
      </c>
      <c r="O15" s="868" t="str">
        <f t="shared" si="1"/>
        <v>-</v>
      </c>
      <c r="P15" s="934"/>
      <c r="Q15" s="642">
        <v>0</v>
      </c>
      <c r="R15" s="451">
        <v>0</v>
      </c>
      <c r="S15" s="452">
        <f t="shared" ref="S15:S24" si="10">R15-Q15</f>
        <v>0</v>
      </c>
      <c r="T15" s="868" t="str">
        <f t="shared" si="2"/>
        <v>-</v>
      </c>
      <c r="U15" s="184"/>
      <c r="V15" s="450">
        <f t="shared" ref="V15:V24" si="11">B15+G15+L15+Q15</f>
        <v>0</v>
      </c>
      <c r="W15" s="451">
        <f t="shared" ref="W15:W24" si="12">C15+H15+M15+R15</f>
        <v>0</v>
      </c>
      <c r="X15" s="452">
        <f t="shared" ref="X15:X24" si="13">W15-V15</f>
        <v>0</v>
      </c>
      <c r="Y15" s="185" t="str">
        <f t="shared" si="3"/>
        <v>-</v>
      </c>
      <c r="Z15" s="188"/>
      <c r="AA15" s="452">
        <v>0</v>
      </c>
      <c r="AB15" s="452">
        <f t="shared" si="4"/>
        <v>0</v>
      </c>
      <c r="AC15" s="912" t="str">
        <f t="shared" si="5"/>
        <v>-</v>
      </c>
      <c r="AD15" s="934"/>
      <c r="AE15" s="928"/>
    </row>
    <row r="16" spans="1:31" ht="19.5" thickBot="1" x14ac:dyDescent="0.35">
      <c r="A16" s="1299" t="s">
        <v>69</v>
      </c>
      <c r="B16" s="642">
        <v>0</v>
      </c>
      <c r="C16" s="451">
        <v>0</v>
      </c>
      <c r="D16" s="452">
        <f t="shared" si="6"/>
        <v>0</v>
      </c>
      <c r="E16" s="1306" t="str">
        <f t="shared" si="7"/>
        <v>-</v>
      </c>
      <c r="F16" s="935"/>
      <c r="G16" s="642">
        <v>0</v>
      </c>
      <c r="H16" s="451">
        <v>0</v>
      </c>
      <c r="I16" s="452">
        <f t="shared" si="8"/>
        <v>0</v>
      </c>
      <c r="J16" s="1316" t="str">
        <f t="shared" si="0"/>
        <v>-</v>
      </c>
      <c r="K16" s="1318"/>
      <c r="L16" s="642">
        <v>0</v>
      </c>
      <c r="M16" s="451">
        <v>0</v>
      </c>
      <c r="N16" s="452">
        <f t="shared" si="9"/>
        <v>0</v>
      </c>
      <c r="O16" s="868" t="str">
        <f t="shared" si="1"/>
        <v>-</v>
      </c>
      <c r="P16" s="935"/>
      <c r="Q16" s="642">
        <v>0</v>
      </c>
      <c r="R16" s="451">
        <v>0</v>
      </c>
      <c r="S16" s="452">
        <f t="shared" si="10"/>
        <v>0</v>
      </c>
      <c r="T16" s="868" t="str">
        <f t="shared" si="2"/>
        <v>-</v>
      </c>
      <c r="U16" s="191"/>
      <c r="V16" s="450">
        <f t="shared" si="11"/>
        <v>0</v>
      </c>
      <c r="W16" s="451">
        <f t="shared" si="12"/>
        <v>0</v>
      </c>
      <c r="X16" s="452">
        <f t="shared" si="13"/>
        <v>0</v>
      </c>
      <c r="Y16" s="185" t="str">
        <f t="shared" si="3"/>
        <v>-</v>
      </c>
      <c r="Z16" s="188"/>
      <c r="AA16" s="452">
        <v>560</v>
      </c>
      <c r="AB16" s="452">
        <f t="shared" si="4"/>
        <v>560</v>
      </c>
      <c r="AC16" s="912">
        <f t="shared" si="5"/>
        <v>1</v>
      </c>
      <c r="AD16" s="935"/>
      <c r="AE16" s="929"/>
    </row>
    <row r="17" spans="1:33" x14ac:dyDescent="0.3">
      <c r="A17" s="1299" t="s">
        <v>68</v>
      </c>
      <c r="B17" s="642">
        <v>0</v>
      </c>
      <c r="C17" s="451">
        <v>0</v>
      </c>
      <c r="D17" s="452">
        <f t="shared" si="6"/>
        <v>0</v>
      </c>
      <c r="E17" s="1306" t="str">
        <f t="shared" si="7"/>
        <v>-</v>
      </c>
      <c r="F17" s="934"/>
      <c r="G17" s="642">
        <v>0</v>
      </c>
      <c r="H17" s="451">
        <v>0</v>
      </c>
      <c r="I17" s="452">
        <f t="shared" si="8"/>
        <v>0</v>
      </c>
      <c r="J17" s="1316" t="str">
        <f t="shared" si="0"/>
        <v>-</v>
      </c>
      <c r="K17" s="184"/>
      <c r="L17" s="450">
        <v>0</v>
      </c>
      <c r="M17" s="451">
        <v>0</v>
      </c>
      <c r="N17" s="452">
        <f t="shared" si="9"/>
        <v>0</v>
      </c>
      <c r="O17" s="868" t="str">
        <f t="shared" si="1"/>
        <v>-</v>
      </c>
      <c r="P17" s="934"/>
      <c r="Q17" s="642">
        <v>0</v>
      </c>
      <c r="R17" s="451">
        <v>0</v>
      </c>
      <c r="S17" s="452">
        <f t="shared" si="10"/>
        <v>0</v>
      </c>
      <c r="T17" s="868" t="str">
        <f t="shared" si="2"/>
        <v>-</v>
      </c>
      <c r="U17" s="184"/>
      <c r="V17" s="450">
        <f t="shared" si="11"/>
        <v>0</v>
      </c>
      <c r="W17" s="451">
        <f t="shared" si="12"/>
        <v>0</v>
      </c>
      <c r="X17" s="452">
        <f t="shared" si="13"/>
        <v>0</v>
      </c>
      <c r="Y17" s="185" t="str">
        <f t="shared" si="3"/>
        <v>-</v>
      </c>
      <c r="Z17" s="188"/>
      <c r="AA17" s="452">
        <v>0</v>
      </c>
      <c r="AB17" s="452">
        <f t="shared" si="4"/>
        <v>0</v>
      </c>
      <c r="AC17" s="912" t="str">
        <f t="shared" si="5"/>
        <v>-</v>
      </c>
      <c r="AD17" s="934"/>
      <c r="AE17" s="928"/>
    </row>
    <row r="18" spans="1:33" x14ac:dyDescent="0.3">
      <c r="A18" s="190" t="s">
        <v>71</v>
      </c>
      <c r="B18" s="450">
        <v>276233</v>
      </c>
      <c r="C18" s="451">
        <v>331938.17000000004</v>
      </c>
      <c r="D18" s="452">
        <f t="shared" si="6"/>
        <v>55705.170000000042</v>
      </c>
      <c r="E18" s="1306">
        <f t="shared" si="7"/>
        <v>0.20166008405947169</v>
      </c>
      <c r="F18" s="934"/>
      <c r="G18" s="642">
        <v>276233</v>
      </c>
      <c r="H18" s="451">
        <v>283706.18</v>
      </c>
      <c r="I18" s="452">
        <f t="shared" si="8"/>
        <v>7473.179999999993</v>
      </c>
      <c r="J18" s="1316">
        <f t="shared" si="0"/>
        <v>2.7053900149511437E-2</v>
      </c>
      <c r="K18" s="184"/>
      <c r="L18" s="450">
        <v>276233</v>
      </c>
      <c r="M18" s="451">
        <v>245858.12</v>
      </c>
      <c r="N18" s="452">
        <f t="shared" si="9"/>
        <v>-30374.880000000005</v>
      </c>
      <c r="O18" s="868">
        <f t="shared" si="1"/>
        <v>-0.10996108357799396</v>
      </c>
      <c r="P18" s="934"/>
      <c r="Q18" s="642">
        <v>276233</v>
      </c>
      <c r="R18" s="451">
        <v>227759.56</v>
      </c>
      <c r="S18" s="452">
        <f>R18-Q18</f>
        <v>-48473.440000000002</v>
      </c>
      <c r="T18" s="868">
        <f t="shared" si="2"/>
        <v>-0.17548026484887758</v>
      </c>
      <c r="U18" s="184"/>
      <c r="V18" s="450">
        <f t="shared" si="11"/>
        <v>1104932</v>
      </c>
      <c r="W18" s="451">
        <f t="shared" si="12"/>
        <v>1089262.03</v>
      </c>
      <c r="X18" s="452">
        <f t="shared" si="13"/>
        <v>-15669.969999999972</v>
      </c>
      <c r="Y18" s="185">
        <f t="shared" si="3"/>
        <v>-1.4181841054472104E-2</v>
      </c>
      <c r="Z18" s="188"/>
      <c r="AA18" s="452">
        <v>0</v>
      </c>
      <c r="AB18" s="452">
        <f t="shared" si="4"/>
        <v>-1089262.03</v>
      </c>
      <c r="AC18" s="912" t="str">
        <f t="shared" si="5"/>
        <v>-</v>
      </c>
      <c r="AD18" s="934"/>
      <c r="AE18" s="1097"/>
    </row>
    <row r="19" spans="1:33" x14ac:dyDescent="0.3">
      <c r="A19" s="190" t="s">
        <v>202</v>
      </c>
      <c r="B19" s="450">
        <v>0</v>
      </c>
      <c r="C19" s="451">
        <v>0</v>
      </c>
      <c r="D19" s="452">
        <f t="shared" si="6"/>
        <v>0</v>
      </c>
      <c r="E19" s="1306" t="str">
        <f t="shared" si="7"/>
        <v>-</v>
      </c>
      <c r="F19" s="934"/>
      <c r="G19" s="642">
        <v>0</v>
      </c>
      <c r="H19" s="451">
        <v>0</v>
      </c>
      <c r="I19" s="452">
        <f t="shared" si="8"/>
        <v>0</v>
      </c>
      <c r="J19" s="1316" t="str">
        <f t="shared" si="0"/>
        <v>-</v>
      </c>
      <c r="K19" s="184"/>
      <c r="L19" s="450">
        <v>0</v>
      </c>
      <c r="M19" s="451">
        <v>0</v>
      </c>
      <c r="N19" s="452">
        <f t="shared" si="9"/>
        <v>0</v>
      </c>
      <c r="O19" s="868" t="str">
        <f t="shared" si="1"/>
        <v>-</v>
      </c>
      <c r="P19" s="934"/>
      <c r="Q19" s="642">
        <v>0</v>
      </c>
      <c r="R19" s="451">
        <v>0</v>
      </c>
      <c r="S19" s="452">
        <f>R19-Q19</f>
        <v>0</v>
      </c>
      <c r="T19" s="868" t="str">
        <f t="shared" si="2"/>
        <v>-</v>
      </c>
      <c r="U19" s="184"/>
      <c r="V19" s="450">
        <f t="shared" si="11"/>
        <v>0</v>
      </c>
      <c r="W19" s="451">
        <f t="shared" si="12"/>
        <v>0</v>
      </c>
      <c r="X19" s="452">
        <f t="shared" si="13"/>
        <v>0</v>
      </c>
      <c r="Y19" s="185" t="str">
        <f t="shared" si="3"/>
        <v>-</v>
      </c>
      <c r="Z19" s="188"/>
      <c r="AA19" s="452">
        <v>0</v>
      </c>
      <c r="AB19" s="452">
        <f t="shared" si="4"/>
        <v>0</v>
      </c>
      <c r="AC19" s="912" t="str">
        <f t="shared" si="5"/>
        <v>-</v>
      </c>
      <c r="AD19" s="934"/>
      <c r="AE19" s="1139"/>
    </row>
    <row r="20" spans="1:33" x14ac:dyDescent="0.3">
      <c r="A20" s="194" t="s">
        <v>67</v>
      </c>
      <c r="B20" s="450">
        <v>0</v>
      </c>
      <c r="C20" s="451">
        <v>0</v>
      </c>
      <c r="D20" s="452">
        <f t="shared" si="6"/>
        <v>0</v>
      </c>
      <c r="E20" s="1306" t="str">
        <f t="shared" si="7"/>
        <v>-</v>
      </c>
      <c r="F20" s="934"/>
      <c r="G20" s="642">
        <v>0</v>
      </c>
      <c r="H20" s="451">
        <v>0</v>
      </c>
      <c r="I20" s="452">
        <f t="shared" si="8"/>
        <v>0</v>
      </c>
      <c r="J20" s="1316" t="str">
        <f t="shared" si="0"/>
        <v>-</v>
      </c>
      <c r="K20" s="184"/>
      <c r="L20" s="450">
        <v>0</v>
      </c>
      <c r="M20" s="451">
        <v>0</v>
      </c>
      <c r="N20" s="452">
        <f t="shared" si="9"/>
        <v>0</v>
      </c>
      <c r="O20" s="868" t="str">
        <f t="shared" si="1"/>
        <v>-</v>
      </c>
      <c r="P20" s="934"/>
      <c r="Q20" s="642">
        <v>0</v>
      </c>
      <c r="R20" s="451">
        <v>0</v>
      </c>
      <c r="S20" s="452">
        <f t="shared" si="10"/>
        <v>0</v>
      </c>
      <c r="T20" s="868" t="str">
        <f t="shared" si="2"/>
        <v>-</v>
      </c>
      <c r="U20" s="184"/>
      <c r="V20" s="450">
        <f t="shared" si="11"/>
        <v>0</v>
      </c>
      <c r="W20" s="451">
        <f t="shared" si="12"/>
        <v>0</v>
      </c>
      <c r="X20" s="452">
        <f t="shared" si="13"/>
        <v>0</v>
      </c>
      <c r="Y20" s="185" t="str">
        <f t="shared" si="3"/>
        <v>-</v>
      </c>
      <c r="Z20" s="188"/>
      <c r="AA20" s="452">
        <v>0</v>
      </c>
      <c r="AB20" s="452">
        <f t="shared" si="4"/>
        <v>0</v>
      </c>
      <c r="AC20" s="912" t="str">
        <f t="shared" si="5"/>
        <v>-</v>
      </c>
      <c r="AD20" s="934"/>
      <c r="AE20" s="928"/>
    </row>
    <row r="21" spans="1:33" x14ac:dyDescent="0.3">
      <c r="A21" s="181" t="s">
        <v>112</v>
      </c>
      <c r="B21" s="450">
        <v>2018568.25</v>
      </c>
      <c r="C21" s="451">
        <v>2018568.24</v>
      </c>
      <c r="D21" s="452">
        <f t="shared" si="6"/>
        <v>-1.0000000009313226E-2</v>
      </c>
      <c r="E21" s="1306">
        <f t="shared" si="7"/>
        <v>-4.9540063900803083E-9</v>
      </c>
      <c r="F21" s="934"/>
      <c r="G21" s="642">
        <v>2018568.25</v>
      </c>
      <c r="H21" s="451">
        <v>2018568.24</v>
      </c>
      <c r="I21" s="452">
        <f t="shared" si="8"/>
        <v>-1.0000000009313226E-2</v>
      </c>
      <c r="J21" s="1316">
        <f t="shared" si="0"/>
        <v>-4.9540063900803083E-9</v>
      </c>
      <c r="K21" s="184"/>
      <c r="L21" s="450">
        <v>2018568.25</v>
      </c>
      <c r="M21" s="451">
        <v>2018568.24</v>
      </c>
      <c r="N21" s="452">
        <f t="shared" si="9"/>
        <v>-1.0000000009313226E-2</v>
      </c>
      <c r="O21" s="868">
        <f t="shared" si="1"/>
        <v>-4.9540063900803083E-9</v>
      </c>
      <c r="P21" s="934"/>
      <c r="Q21" s="642">
        <v>2018568.25</v>
      </c>
      <c r="R21" s="451">
        <v>2106448.92</v>
      </c>
      <c r="S21" s="452">
        <f t="shared" si="10"/>
        <v>87880.669999999925</v>
      </c>
      <c r="T21" s="868">
        <f t="shared" si="2"/>
        <v>4.3536140033907662E-2</v>
      </c>
      <c r="U21" s="184"/>
      <c r="V21" s="450">
        <f>B21+G21+L21+Q21</f>
        <v>8074273</v>
      </c>
      <c r="W21" s="451">
        <f>C21+H21+M21+R21</f>
        <v>8162153.6399999997</v>
      </c>
      <c r="X21" s="452">
        <f t="shared" si="13"/>
        <v>87880.639999999665</v>
      </c>
      <c r="Y21" s="185">
        <f>IF(ISERROR(X21/V21),"-",X21/V21)</f>
        <v>1.0884031292972093E-2</v>
      </c>
      <c r="Z21" s="188"/>
      <c r="AA21" s="452">
        <v>8074273</v>
      </c>
      <c r="AB21" s="452">
        <f t="shared" si="4"/>
        <v>-87880.639999999665</v>
      </c>
      <c r="AC21" s="912">
        <f>IF(ISERROR(AB21/AA21),"-",AB21/AA21)</f>
        <v>-1.0884031292972093E-2</v>
      </c>
      <c r="AD21" s="934"/>
      <c r="AE21" s="928"/>
    </row>
    <row r="22" spans="1:33" x14ac:dyDescent="0.3">
      <c r="A22" s="190" t="s">
        <v>70</v>
      </c>
      <c r="B22" s="453">
        <v>0</v>
      </c>
      <c r="C22" s="642">
        <v>0</v>
      </c>
      <c r="D22" s="452">
        <f t="shared" si="6"/>
        <v>0</v>
      </c>
      <c r="E22" s="1306" t="str">
        <f t="shared" si="7"/>
        <v>-</v>
      </c>
      <c r="F22" s="934"/>
      <c r="G22" s="642">
        <v>0</v>
      </c>
      <c r="H22" s="451">
        <v>0</v>
      </c>
      <c r="I22" s="452">
        <f t="shared" si="8"/>
        <v>0</v>
      </c>
      <c r="J22" s="1316" t="str">
        <f t="shared" si="0"/>
        <v>-</v>
      </c>
      <c r="K22" s="184"/>
      <c r="L22" s="450">
        <v>0</v>
      </c>
      <c r="M22" s="451">
        <v>0</v>
      </c>
      <c r="N22" s="452">
        <f t="shared" si="9"/>
        <v>0</v>
      </c>
      <c r="O22" s="868" t="str">
        <f t="shared" si="1"/>
        <v>-</v>
      </c>
      <c r="P22" s="934"/>
      <c r="Q22" s="642">
        <v>0</v>
      </c>
      <c r="R22" s="451">
        <v>0</v>
      </c>
      <c r="S22" s="452">
        <f t="shared" si="10"/>
        <v>0</v>
      </c>
      <c r="T22" s="868" t="str">
        <f t="shared" si="2"/>
        <v>-</v>
      </c>
      <c r="U22" s="184"/>
      <c r="V22" s="450">
        <f t="shared" si="11"/>
        <v>0</v>
      </c>
      <c r="W22" s="451">
        <f t="shared" si="12"/>
        <v>0</v>
      </c>
      <c r="X22" s="452">
        <f t="shared" si="13"/>
        <v>0</v>
      </c>
      <c r="Y22" s="185" t="str">
        <f t="shared" ref="Y22:Y24" si="14">IF(ISERROR(X22/V22),"-",X22/V22)</f>
        <v>-</v>
      </c>
      <c r="Z22" s="188"/>
      <c r="AA22" s="452">
        <v>0</v>
      </c>
      <c r="AB22" s="452">
        <f t="shared" si="4"/>
        <v>0</v>
      </c>
      <c r="AC22" s="912" t="str">
        <f t="shared" si="5"/>
        <v>-</v>
      </c>
      <c r="AD22" s="934"/>
      <c r="AE22" s="928"/>
      <c r="AG22" s="195"/>
    </row>
    <row r="23" spans="1:33" x14ac:dyDescent="0.3">
      <c r="A23" s="190" t="s">
        <v>72</v>
      </c>
      <c r="B23" s="453">
        <v>0</v>
      </c>
      <c r="C23" s="642">
        <v>0</v>
      </c>
      <c r="D23" s="452">
        <f t="shared" si="6"/>
        <v>0</v>
      </c>
      <c r="E23" s="1306" t="str">
        <f t="shared" si="7"/>
        <v>-</v>
      </c>
      <c r="F23" s="934"/>
      <c r="G23" s="642">
        <v>0</v>
      </c>
      <c r="H23" s="451">
        <v>0</v>
      </c>
      <c r="I23" s="452">
        <f t="shared" si="8"/>
        <v>0</v>
      </c>
      <c r="J23" s="1316" t="str">
        <f t="shared" si="0"/>
        <v>-</v>
      </c>
      <c r="K23" s="184"/>
      <c r="L23" s="450">
        <v>0</v>
      </c>
      <c r="M23" s="451">
        <v>0</v>
      </c>
      <c r="N23" s="452">
        <f t="shared" si="9"/>
        <v>0</v>
      </c>
      <c r="O23" s="868" t="str">
        <f t="shared" si="1"/>
        <v>-</v>
      </c>
      <c r="P23" s="934"/>
      <c r="Q23" s="642">
        <v>0</v>
      </c>
      <c r="R23" s="451">
        <v>0</v>
      </c>
      <c r="S23" s="452">
        <f t="shared" si="10"/>
        <v>0</v>
      </c>
      <c r="T23" s="868" t="str">
        <f t="shared" si="2"/>
        <v>-</v>
      </c>
      <c r="U23" s="184"/>
      <c r="V23" s="450">
        <f t="shared" si="11"/>
        <v>0</v>
      </c>
      <c r="W23" s="451">
        <f t="shared" si="12"/>
        <v>0</v>
      </c>
      <c r="X23" s="452">
        <f t="shared" si="13"/>
        <v>0</v>
      </c>
      <c r="Y23" s="185" t="str">
        <f t="shared" si="14"/>
        <v>-</v>
      </c>
      <c r="Z23" s="188"/>
      <c r="AA23" s="452">
        <v>0</v>
      </c>
      <c r="AB23" s="452">
        <f t="shared" si="4"/>
        <v>0</v>
      </c>
      <c r="AC23" s="912" t="str">
        <f t="shared" si="5"/>
        <v>-</v>
      </c>
      <c r="AD23" s="934"/>
      <c r="AE23" s="929"/>
    </row>
    <row r="24" spans="1:33" x14ac:dyDescent="0.3">
      <c r="A24" s="190" t="s">
        <v>131</v>
      </c>
      <c r="B24" s="1325">
        <v>0</v>
      </c>
      <c r="C24" s="1312">
        <v>0</v>
      </c>
      <c r="D24" s="452">
        <f t="shared" si="6"/>
        <v>0</v>
      </c>
      <c r="E24" s="1307" t="str">
        <f t="shared" si="7"/>
        <v>-</v>
      </c>
      <c r="F24" s="1311"/>
      <c r="G24" s="1312">
        <v>0</v>
      </c>
      <c r="H24" s="1313">
        <v>0</v>
      </c>
      <c r="I24" s="454">
        <f t="shared" si="8"/>
        <v>0</v>
      </c>
      <c r="J24" s="1317" t="str">
        <f t="shared" si="0"/>
        <v>-</v>
      </c>
      <c r="K24" s="1314"/>
      <c r="L24" s="1310">
        <v>0</v>
      </c>
      <c r="M24" s="1313">
        <v>0</v>
      </c>
      <c r="N24" s="454">
        <f t="shared" si="9"/>
        <v>0</v>
      </c>
      <c r="O24" s="1319" t="str">
        <f t="shared" si="1"/>
        <v>-</v>
      </c>
      <c r="P24" s="934"/>
      <c r="Q24" s="642">
        <v>0</v>
      </c>
      <c r="R24" s="451">
        <v>0</v>
      </c>
      <c r="S24" s="452">
        <f t="shared" si="10"/>
        <v>0</v>
      </c>
      <c r="T24" s="1319" t="str">
        <f t="shared" si="2"/>
        <v>-</v>
      </c>
      <c r="U24" s="1314"/>
      <c r="V24" s="450">
        <f t="shared" si="11"/>
        <v>0</v>
      </c>
      <c r="W24" s="451">
        <f t="shared" si="12"/>
        <v>0</v>
      </c>
      <c r="X24" s="452">
        <f t="shared" si="13"/>
        <v>0</v>
      </c>
      <c r="Y24" s="185" t="str">
        <f t="shared" si="14"/>
        <v>-</v>
      </c>
      <c r="Z24" s="188"/>
      <c r="AA24" s="452">
        <v>0</v>
      </c>
      <c r="AB24" s="452">
        <f t="shared" si="4"/>
        <v>0</v>
      </c>
      <c r="AC24" s="913" t="str">
        <f t="shared" si="5"/>
        <v>-</v>
      </c>
      <c r="AD24" s="934"/>
      <c r="AE24" s="928"/>
    </row>
    <row r="25" spans="1:33" ht="19.5" thickBot="1" x14ac:dyDescent="0.35">
      <c r="A25" s="199" t="s">
        <v>73</v>
      </c>
      <c r="B25" s="455">
        <f>SUM(B14:B24)</f>
        <v>2294801.25</v>
      </c>
      <c r="C25" s="456">
        <f>SUM(C14:C24)</f>
        <v>2350506.41</v>
      </c>
      <c r="D25" s="1326">
        <f>SUM(D14:D24)</f>
        <v>55705.160000000033</v>
      </c>
      <c r="E25" s="1308">
        <f>IF(ISERROR(D25/B25),"-",D25/B25)</f>
        <v>2.4274503075157394E-2</v>
      </c>
      <c r="F25" s="951"/>
      <c r="G25" s="1309">
        <f>SUM(G14:G24)</f>
        <v>2294801.25</v>
      </c>
      <c r="H25" s="456">
        <f>SUM(H14:H24)</f>
        <v>2302274.42</v>
      </c>
      <c r="I25" s="456">
        <f>SUM(I14:I24)</f>
        <v>7473.1699999999837</v>
      </c>
      <c r="J25" s="343">
        <f>IF(ISERROR(I25/G25),"-",I25/G25)</f>
        <v>3.2565652472082208E-3</v>
      </c>
      <c r="K25" s="203"/>
      <c r="L25" s="455">
        <f>SUM(L14:L24)</f>
        <v>2294801.25</v>
      </c>
      <c r="M25" s="456">
        <f>SUM(M14:M24)</f>
        <v>2264426.36</v>
      </c>
      <c r="N25" s="456">
        <f>SUM(N14:N24)</f>
        <v>-30374.890000000014</v>
      </c>
      <c r="O25" s="204">
        <f t="shared" si="1"/>
        <v>-1.3236392476254757E-2</v>
      </c>
      <c r="P25" s="934"/>
      <c r="Q25" s="1320">
        <f>SUM(Q14:Q24)</f>
        <v>2294801.25</v>
      </c>
      <c r="R25" s="909">
        <f>SUM(R14:R24)</f>
        <v>2334208.48</v>
      </c>
      <c r="S25" s="909">
        <f>SUM(S14:S24)</f>
        <v>39407.229999999923</v>
      </c>
      <c r="T25" s="1322">
        <f t="shared" si="2"/>
        <v>1.7172393469804814E-2</v>
      </c>
      <c r="U25" s="1314"/>
      <c r="V25" s="455">
        <f>SUM(V14:V24)</f>
        <v>9179205</v>
      </c>
      <c r="W25" s="456">
        <f>SUM(W14:W24)</f>
        <v>9251415.6699999999</v>
      </c>
      <c r="X25" s="456">
        <f>SUM(X14:X24)</f>
        <v>72210.669999999693</v>
      </c>
      <c r="Y25" s="205">
        <f t="shared" ref="Y25" si="15">IF(ISERROR(X25/V25),"-",X25/V25)</f>
        <v>7.8667673289788929E-3</v>
      </c>
      <c r="Z25" s="179"/>
      <c r="AA25" s="457">
        <f>SUM(AA14:AA24)</f>
        <v>9179205</v>
      </c>
      <c r="AB25" s="458">
        <f>SUM(AB14:AB24)</f>
        <v>-72210.669999999693</v>
      </c>
      <c r="AC25" s="914">
        <f t="shared" si="5"/>
        <v>-7.8667673289788929E-3</v>
      </c>
      <c r="AD25" s="936"/>
      <c r="AE25" s="930"/>
    </row>
    <row r="26" spans="1:33" x14ac:dyDescent="0.3">
      <c r="A26" s="210"/>
      <c r="B26" s="459"/>
      <c r="C26" s="460"/>
      <c r="D26" s="460"/>
      <c r="E26" s="213"/>
      <c r="F26" s="184"/>
      <c r="G26" s="461"/>
      <c r="H26" s="462"/>
      <c r="I26" s="462"/>
      <c r="J26" s="216"/>
      <c r="K26" s="184"/>
      <c r="L26" s="459"/>
      <c r="M26" s="460"/>
      <c r="N26" s="460"/>
      <c r="O26" s="217"/>
      <c r="P26" s="934"/>
      <c r="Q26" s="681"/>
      <c r="R26" s="464"/>
      <c r="S26" s="464"/>
      <c r="T26" s="223" t="str">
        <f t="shared" si="2"/>
        <v>-</v>
      </c>
      <c r="U26" s="184"/>
      <c r="V26" s="459"/>
      <c r="W26" s="460"/>
      <c r="X26" s="460"/>
      <c r="Y26" s="217"/>
      <c r="Z26" s="188"/>
      <c r="AA26" s="459"/>
      <c r="AB26" s="460"/>
      <c r="AC26" s="915"/>
      <c r="AD26" s="934"/>
      <c r="AE26" s="928"/>
    </row>
    <row r="27" spans="1:33" x14ac:dyDescent="0.3">
      <c r="A27" s="172" t="s">
        <v>74</v>
      </c>
      <c r="B27" s="450">
        <v>0</v>
      </c>
      <c r="C27" s="451">
        <v>0</v>
      </c>
      <c r="D27" s="451">
        <f>C27-B27</f>
        <v>0</v>
      </c>
      <c r="E27" s="220" t="str">
        <f>IF(ISERROR(D27/B27),"-",D27/B27)</f>
        <v>-</v>
      </c>
      <c r="F27" s="184"/>
      <c r="G27" s="463">
        <v>0</v>
      </c>
      <c r="H27" s="464">
        <v>0</v>
      </c>
      <c r="I27" s="451">
        <f t="shared" ref="I27" si="16">H27-G27</f>
        <v>0</v>
      </c>
      <c r="J27" s="221" t="str">
        <f>IF(ISERROR(I27/G27),"-",I27/G27)</f>
        <v>-</v>
      </c>
      <c r="K27" s="184"/>
      <c r="L27" s="450">
        <v>0</v>
      </c>
      <c r="M27" s="451">
        <v>0</v>
      </c>
      <c r="N27" s="451">
        <f>M27-L27</f>
        <v>0</v>
      </c>
      <c r="O27" s="222" t="str">
        <f>IF(ISERROR(N27/L27),"-",N27/L27)</f>
        <v>-</v>
      </c>
      <c r="P27" s="184"/>
      <c r="Q27" s="450">
        <v>0</v>
      </c>
      <c r="R27" s="451">
        <v>0</v>
      </c>
      <c r="S27" s="451">
        <f>R27-Q27</f>
        <v>0</v>
      </c>
      <c r="T27" s="223" t="str">
        <f t="shared" si="2"/>
        <v>-</v>
      </c>
      <c r="U27" s="184"/>
      <c r="V27" s="450">
        <f>B27+G27+L27+Q27</f>
        <v>0</v>
      </c>
      <c r="W27" s="451">
        <f>C27+H27+M27+R27</f>
        <v>0</v>
      </c>
      <c r="X27" s="451">
        <f>W27-V27</f>
        <v>0</v>
      </c>
      <c r="Y27" s="225"/>
      <c r="Z27" s="188"/>
      <c r="AA27" s="450">
        <v>0</v>
      </c>
      <c r="AB27" s="451"/>
      <c r="AC27" s="916"/>
      <c r="AD27" s="934"/>
      <c r="AE27" s="928"/>
    </row>
    <row r="28" spans="1:33" x14ac:dyDescent="0.3">
      <c r="A28" s="226"/>
      <c r="B28" s="465"/>
      <c r="C28" s="466"/>
      <c r="D28" s="466"/>
      <c r="E28" s="229"/>
      <c r="F28" s="175"/>
      <c r="G28" s="467"/>
      <c r="H28" s="468"/>
      <c r="I28" s="468"/>
      <c r="J28" s="232"/>
      <c r="K28" s="175"/>
      <c r="L28" s="465"/>
      <c r="M28" s="466"/>
      <c r="N28" s="466"/>
      <c r="O28" s="233"/>
      <c r="P28" s="175"/>
      <c r="Q28" s="467"/>
      <c r="R28" s="468"/>
      <c r="S28" s="468"/>
      <c r="T28" s="234" t="str">
        <f t="shared" si="2"/>
        <v>-</v>
      </c>
      <c r="U28" s="175"/>
      <c r="V28" s="465"/>
      <c r="W28" s="466"/>
      <c r="X28" s="466"/>
      <c r="Y28" s="233"/>
      <c r="Z28" s="179"/>
      <c r="AA28" s="465"/>
      <c r="AB28" s="466"/>
      <c r="AC28" s="917"/>
      <c r="AD28" s="933"/>
      <c r="AE28" s="928"/>
    </row>
    <row r="29" spans="1:33" x14ac:dyDescent="0.3">
      <c r="A29" s="199" t="s">
        <v>75</v>
      </c>
      <c r="B29" s="469">
        <f>B25+B27</f>
        <v>2294801.25</v>
      </c>
      <c r="C29" s="470">
        <f>C25+C27</f>
        <v>2350506.41</v>
      </c>
      <c r="D29" s="470">
        <f>D25+D27</f>
        <v>55705.160000000033</v>
      </c>
      <c r="E29" s="237">
        <f>IF(ISERROR(D29/B29),"-",D29/B29)</f>
        <v>2.4274503075157394E-2</v>
      </c>
      <c r="F29" s="203"/>
      <c r="G29" s="469">
        <f>G25+G27</f>
        <v>2294801.25</v>
      </c>
      <c r="H29" s="470">
        <f>H25+H27</f>
        <v>2302274.42</v>
      </c>
      <c r="I29" s="470">
        <f>I25+I27</f>
        <v>7473.1699999999837</v>
      </c>
      <c r="J29" s="237">
        <f>IF(ISERROR(I29/G29),"-",I29/G29)</f>
        <v>3.2565652472082208E-3</v>
      </c>
      <c r="K29" s="203"/>
      <c r="L29" s="469">
        <f>L25+L27</f>
        <v>2294801.25</v>
      </c>
      <c r="M29" s="470">
        <f>M25+M27</f>
        <v>2264426.36</v>
      </c>
      <c r="N29" s="470">
        <f>N25+N27</f>
        <v>-30374.890000000014</v>
      </c>
      <c r="O29" s="238">
        <f>IF(ISERROR(N29/L29),"-",N29/L29)</f>
        <v>-1.3236392476254757E-2</v>
      </c>
      <c r="P29" s="203"/>
      <c r="Q29" s="469">
        <f>Q25+Q27</f>
        <v>2294801.25</v>
      </c>
      <c r="R29" s="470">
        <f>R25+R27</f>
        <v>2334208.48</v>
      </c>
      <c r="S29" s="470">
        <f>S25+S27</f>
        <v>39407.229999999923</v>
      </c>
      <c r="T29" s="238">
        <f t="shared" si="2"/>
        <v>1.7172393469804814E-2</v>
      </c>
      <c r="U29" s="203"/>
      <c r="V29" s="469">
        <f>V25+V27</f>
        <v>9179205</v>
      </c>
      <c r="W29" s="470">
        <f>W25+W27</f>
        <v>9251415.6699999999</v>
      </c>
      <c r="X29" s="470">
        <f>X25+X27</f>
        <v>72210.669999999693</v>
      </c>
      <c r="Y29" s="238">
        <f>IF(ISERROR(X29/V29),"-",X29/V29)</f>
        <v>7.8667673289788929E-3</v>
      </c>
      <c r="Z29" s="179"/>
      <c r="AA29" s="471">
        <f>AA25+AA27</f>
        <v>9179205</v>
      </c>
      <c r="AB29" s="472">
        <f>AA29-W29</f>
        <v>-72210.669999999925</v>
      </c>
      <c r="AC29" s="918">
        <f>IF(ISERROR(AB29/AA29),"-",AB29/AA29)</f>
        <v>-7.8667673289789172E-3</v>
      </c>
      <c r="AD29" s="936"/>
      <c r="AE29" s="930"/>
    </row>
    <row r="30" spans="1:33" x14ac:dyDescent="0.3">
      <c r="A30" s="242"/>
      <c r="B30" s="473"/>
      <c r="C30" s="474"/>
      <c r="D30" s="474"/>
      <c r="E30" s="245"/>
      <c r="F30" s="175"/>
      <c r="G30" s="475"/>
      <c r="H30" s="476"/>
      <c r="I30" s="476"/>
      <c r="J30" s="248"/>
      <c r="K30" s="175"/>
      <c r="L30" s="473"/>
      <c r="M30" s="474"/>
      <c r="N30" s="474"/>
      <c r="O30" s="249"/>
      <c r="P30" s="175"/>
      <c r="Q30" s="475"/>
      <c r="R30" s="476"/>
      <c r="S30" s="476"/>
      <c r="T30" s="250"/>
      <c r="U30" s="175"/>
      <c r="V30" s="459"/>
      <c r="W30" s="460"/>
      <c r="X30" s="474"/>
      <c r="Y30" s="249"/>
      <c r="Z30" s="179"/>
      <c r="AA30" s="459"/>
      <c r="AB30" s="474"/>
      <c r="AC30" s="919"/>
      <c r="AD30" s="933"/>
      <c r="AE30" s="928"/>
    </row>
    <row r="31" spans="1:33" x14ac:dyDescent="0.3">
      <c r="A31" s="172" t="s">
        <v>76</v>
      </c>
      <c r="B31" s="450"/>
      <c r="C31" s="451"/>
      <c r="D31" s="451"/>
      <c r="E31" s="251"/>
      <c r="F31" s="184"/>
      <c r="G31" s="463"/>
      <c r="H31" s="464"/>
      <c r="I31" s="464"/>
      <c r="J31" s="254"/>
      <c r="K31" s="184"/>
      <c r="L31" s="450"/>
      <c r="M31" s="451"/>
      <c r="N31" s="451"/>
      <c r="O31" s="225"/>
      <c r="P31" s="184"/>
      <c r="Q31" s="463"/>
      <c r="R31" s="464"/>
      <c r="S31" s="464"/>
      <c r="T31" s="255"/>
      <c r="U31" s="184"/>
      <c r="V31" s="450"/>
      <c r="W31" s="451"/>
      <c r="X31" s="451"/>
      <c r="Y31" s="225"/>
      <c r="Z31" s="188"/>
      <c r="AA31" s="450"/>
      <c r="AB31" s="451"/>
      <c r="AC31" s="916"/>
      <c r="AD31" s="934"/>
      <c r="AE31" s="928"/>
    </row>
    <row r="32" spans="1:33" x14ac:dyDescent="0.3">
      <c r="A32" s="172" t="s">
        <v>77</v>
      </c>
      <c r="B32" s="450"/>
      <c r="C32" s="451"/>
      <c r="D32" s="451"/>
      <c r="E32" s="251"/>
      <c r="F32" s="184"/>
      <c r="G32" s="463"/>
      <c r="H32" s="464"/>
      <c r="I32" s="464"/>
      <c r="J32" s="254"/>
      <c r="K32" s="184"/>
      <c r="L32" s="450"/>
      <c r="M32" s="451"/>
      <c r="N32" s="451"/>
      <c r="O32" s="225"/>
      <c r="P32" s="184"/>
      <c r="Q32" s="463"/>
      <c r="R32" s="464"/>
      <c r="S32" s="464"/>
      <c r="T32" s="255"/>
      <c r="U32" s="184"/>
      <c r="V32" s="450"/>
      <c r="W32" s="451"/>
      <c r="X32" s="451"/>
      <c r="Y32" s="225"/>
      <c r="Z32" s="188"/>
      <c r="AA32" s="450"/>
      <c r="AB32" s="451"/>
      <c r="AC32" s="916"/>
      <c r="AD32" s="934"/>
      <c r="AE32" s="928"/>
    </row>
    <row r="33" spans="1:31" ht="30" x14ac:dyDescent="0.3">
      <c r="A33" s="190" t="s">
        <v>78</v>
      </c>
      <c r="B33" s="450">
        <v>363703.25</v>
      </c>
      <c r="C33" s="451">
        <v>262406.02</v>
      </c>
      <c r="D33" s="452">
        <f t="shared" ref="D33:D40" si="17">C33-B33</f>
        <v>-101297.22999999998</v>
      </c>
      <c r="E33" s="220">
        <f t="shared" ref="E33:E40" si="18">IF(ISERROR(D33/B33),"-",D33/B33)</f>
        <v>-0.27851615293511944</v>
      </c>
      <c r="F33" s="191"/>
      <c r="G33" s="463">
        <v>363703.25</v>
      </c>
      <c r="H33" s="464">
        <v>241291.7</v>
      </c>
      <c r="I33" s="451">
        <f>H33-G33</f>
        <v>-122411.54999999999</v>
      </c>
      <c r="J33" s="221">
        <f t="shared" ref="J33:J41" si="19">IF(ISERROR(I33/G33),"-",I33/G33)</f>
        <v>-0.33656985468235434</v>
      </c>
      <c r="K33" s="191"/>
      <c r="L33" s="450">
        <v>363703.25</v>
      </c>
      <c r="M33" s="451">
        <v>238403.01</v>
      </c>
      <c r="N33" s="451">
        <f>M33-L33</f>
        <v>-125300.23999999999</v>
      </c>
      <c r="O33" s="222">
        <f t="shared" ref="O33:O41" si="20">IF(ISERROR(N33/L33),"-",N33/L33)</f>
        <v>-0.34451229127042443</v>
      </c>
      <c r="P33" s="191"/>
      <c r="Q33" s="463">
        <v>363703.25</v>
      </c>
      <c r="R33" s="464">
        <v>340703.73</v>
      </c>
      <c r="S33" s="451">
        <f t="shared" ref="S33:S40" si="21">R33-Q33</f>
        <v>-22999.520000000019</v>
      </c>
      <c r="T33" s="223">
        <f t="shared" ref="T33:T41" si="22">IF(ISERROR(S33/Q33),"-",S33/Q33)</f>
        <v>-6.3237048335421861E-2</v>
      </c>
      <c r="U33" s="191"/>
      <c r="V33" s="450">
        <f>SUM(B33+G33+L33+Q33)</f>
        <v>1454813</v>
      </c>
      <c r="W33" s="451">
        <f>C33+H33+M33+R33</f>
        <v>1082804.46</v>
      </c>
      <c r="X33" s="451">
        <f t="shared" ref="X33:X40" si="23">W33-V33</f>
        <v>-372008.54000000004</v>
      </c>
      <c r="Y33" s="222">
        <f t="shared" ref="Y33:Y41" si="24">IF(ISERROR(X33/V33),"-",X33/V33)</f>
        <v>-0.25570883680583006</v>
      </c>
      <c r="Z33" s="188"/>
      <c r="AA33" s="450">
        <v>1454813</v>
      </c>
      <c r="AB33" s="452">
        <f>AA33-W33</f>
        <v>372008.54000000004</v>
      </c>
      <c r="AC33" s="920">
        <f t="shared" ref="AC33:AC41" si="25">IF(ISERROR(AB33/AA33),"-",AB33/AA33)</f>
        <v>0.25570883680583006</v>
      </c>
      <c r="AD33" s="935"/>
      <c r="AE33" s="1120" t="s">
        <v>204</v>
      </c>
    </row>
    <row r="34" spans="1:31" x14ac:dyDescent="0.3">
      <c r="A34" s="190" t="s">
        <v>79</v>
      </c>
      <c r="B34" s="450">
        <v>3600</v>
      </c>
      <c r="C34" s="451">
        <v>3654.54</v>
      </c>
      <c r="D34" s="452">
        <f t="shared" si="17"/>
        <v>54.539999999999964</v>
      </c>
      <c r="E34" s="220">
        <f t="shared" si="18"/>
        <v>1.514999999999999E-2</v>
      </c>
      <c r="F34" s="191"/>
      <c r="G34" s="463">
        <v>3600</v>
      </c>
      <c r="H34" s="464">
        <v>3600</v>
      </c>
      <c r="I34" s="451">
        <f t="shared" ref="I34:I40" si="26">H34-G34</f>
        <v>0</v>
      </c>
      <c r="J34" s="221">
        <f t="shared" si="19"/>
        <v>0</v>
      </c>
      <c r="K34" s="191"/>
      <c r="L34" s="450">
        <v>3600</v>
      </c>
      <c r="M34" s="451">
        <v>4909.1000000000004</v>
      </c>
      <c r="N34" s="451">
        <f t="shared" ref="N34:N40" si="27">M34-L34</f>
        <v>1309.1000000000004</v>
      </c>
      <c r="O34" s="222">
        <f t="shared" si="20"/>
        <v>0.36363888888888901</v>
      </c>
      <c r="P34" s="191"/>
      <c r="Q34" s="463">
        <v>3600</v>
      </c>
      <c r="R34" s="464">
        <v>3600</v>
      </c>
      <c r="S34" s="451">
        <f t="shared" si="21"/>
        <v>0</v>
      </c>
      <c r="T34" s="223">
        <f t="shared" si="22"/>
        <v>0</v>
      </c>
      <c r="U34" s="191"/>
      <c r="V34" s="450">
        <f t="shared" ref="V34:V40" si="28">SUM(B34+G34+L34+Q34)</f>
        <v>14400</v>
      </c>
      <c r="W34" s="451">
        <f>C34+H34+M34+R34</f>
        <v>15763.64</v>
      </c>
      <c r="X34" s="451">
        <f t="shared" si="23"/>
        <v>1363.6399999999994</v>
      </c>
      <c r="Y34" s="222">
        <f t="shared" si="24"/>
        <v>9.4697222222222183E-2</v>
      </c>
      <c r="Z34" s="188"/>
      <c r="AA34" s="450">
        <v>14400</v>
      </c>
      <c r="AB34" s="452">
        <f t="shared" ref="AB34:AB40" si="29">AA34-W34</f>
        <v>-1363.6399999999994</v>
      </c>
      <c r="AC34" s="920">
        <f t="shared" si="25"/>
        <v>-9.4697222222222183E-2</v>
      </c>
      <c r="AD34" s="935"/>
      <c r="AE34" s="929"/>
    </row>
    <row r="35" spans="1:31" x14ac:dyDescent="0.3">
      <c r="A35" s="190" t="s">
        <v>81</v>
      </c>
      <c r="B35" s="450">
        <v>18555</v>
      </c>
      <c r="C35" s="451">
        <v>13120.29</v>
      </c>
      <c r="D35" s="452">
        <f t="shared" si="17"/>
        <v>-5434.7099999999991</v>
      </c>
      <c r="E35" s="220">
        <f t="shared" si="18"/>
        <v>-0.29289733225545672</v>
      </c>
      <c r="F35" s="191"/>
      <c r="G35" s="463">
        <v>18555</v>
      </c>
      <c r="H35" s="464">
        <v>11920.14</v>
      </c>
      <c r="I35" s="451">
        <f t="shared" si="26"/>
        <v>-6634.8600000000006</v>
      </c>
      <c r="J35" s="221">
        <f t="shared" si="19"/>
        <v>-0.35757801131770417</v>
      </c>
      <c r="K35" s="191"/>
      <c r="L35" s="450">
        <v>18555</v>
      </c>
      <c r="M35" s="451">
        <v>11920.14</v>
      </c>
      <c r="N35" s="451">
        <f t="shared" si="27"/>
        <v>-6634.8600000000006</v>
      </c>
      <c r="O35" s="222">
        <f t="shared" si="20"/>
        <v>-0.35757801131770417</v>
      </c>
      <c r="P35" s="191"/>
      <c r="Q35" s="463">
        <v>18555</v>
      </c>
      <c r="R35" s="464">
        <v>12330.94</v>
      </c>
      <c r="S35" s="451">
        <f t="shared" si="21"/>
        <v>-6224.0599999999995</v>
      </c>
      <c r="T35" s="223">
        <f t="shared" si="22"/>
        <v>-0.33543842630018861</v>
      </c>
      <c r="U35" s="191"/>
      <c r="V35" s="450">
        <f t="shared" si="28"/>
        <v>74220</v>
      </c>
      <c r="W35" s="451">
        <f t="shared" ref="W35:W40" si="30">C35+H35+M35+R35</f>
        <v>49291.51</v>
      </c>
      <c r="X35" s="451">
        <f t="shared" si="23"/>
        <v>-24928.489999999998</v>
      </c>
      <c r="Y35" s="222">
        <f t="shared" si="24"/>
        <v>-0.3358729452977634</v>
      </c>
      <c r="Z35" s="188"/>
      <c r="AA35" s="450">
        <v>83791</v>
      </c>
      <c r="AB35" s="452">
        <f t="shared" si="29"/>
        <v>34499.49</v>
      </c>
      <c r="AC35" s="920">
        <f t="shared" si="25"/>
        <v>0.41173264431740875</v>
      </c>
      <c r="AD35" s="935"/>
      <c r="AE35" s="929"/>
    </row>
    <row r="36" spans="1:31" x14ac:dyDescent="0.3">
      <c r="A36" s="190" t="s">
        <v>106</v>
      </c>
      <c r="B36" s="450">
        <v>16710</v>
      </c>
      <c r="C36" s="451">
        <v>10748.4</v>
      </c>
      <c r="D36" s="452">
        <f t="shared" si="17"/>
        <v>-5961.6</v>
      </c>
      <c r="E36" s="220">
        <f t="shared" si="18"/>
        <v>-0.35676840215439859</v>
      </c>
      <c r="F36" s="256"/>
      <c r="G36" s="463">
        <v>16710</v>
      </c>
      <c r="H36" s="464">
        <v>9898.5499999999993</v>
      </c>
      <c r="I36" s="451">
        <f t="shared" si="26"/>
        <v>-6811.4500000000007</v>
      </c>
      <c r="J36" s="221">
        <f t="shared" si="19"/>
        <v>-0.40762716935966492</v>
      </c>
      <c r="K36" s="256"/>
      <c r="L36" s="450">
        <v>16710</v>
      </c>
      <c r="M36" s="451">
        <v>9539.25</v>
      </c>
      <c r="N36" s="451">
        <f t="shared" si="27"/>
        <v>-7170.75</v>
      </c>
      <c r="O36" s="222">
        <f t="shared" si="20"/>
        <v>-0.42912926391382405</v>
      </c>
      <c r="P36" s="256"/>
      <c r="Q36" s="463">
        <v>16710</v>
      </c>
      <c r="R36" s="464">
        <v>9527.59</v>
      </c>
      <c r="S36" s="451">
        <f t="shared" si="21"/>
        <v>-7182.41</v>
      </c>
      <c r="T36" s="223">
        <f t="shared" si="22"/>
        <v>-0.42982704967085578</v>
      </c>
      <c r="U36" s="256"/>
      <c r="V36" s="450">
        <f t="shared" si="28"/>
        <v>66840</v>
      </c>
      <c r="W36" s="451">
        <f t="shared" si="30"/>
        <v>39713.789999999994</v>
      </c>
      <c r="X36" s="451">
        <f t="shared" si="23"/>
        <v>-27126.210000000006</v>
      </c>
      <c r="Y36" s="222">
        <f t="shared" si="24"/>
        <v>-0.4058379712746859</v>
      </c>
      <c r="Z36" s="257"/>
      <c r="AA36" s="450">
        <v>76917</v>
      </c>
      <c r="AB36" s="452">
        <f t="shared" si="29"/>
        <v>37203.210000000006</v>
      </c>
      <c r="AC36" s="920">
        <f t="shared" si="25"/>
        <v>0.48367994071531661</v>
      </c>
      <c r="AD36" s="937"/>
      <c r="AE36" s="928"/>
    </row>
    <row r="37" spans="1:31" x14ac:dyDescent="0.3">
      <c r="A37" s="190" t="s">
        <v>80</v>
      </c>
      <c r="B37" s="450">
        <v>71901</v>
      </c>
      <c r="C37" s="451">
        <v>10500</v>
      </c>
      <c r="D37" s="452">
        <f t="shared" si="17"/>
        <v>-61401</v>
      </c>
      <c r="E37" s="220">
        <f t="shared" si="18"/>
        <v>-0.85396586973755584</v>
      </c>
      <c r="F37" s="256"/>
      <c r="G37" s="463">
        <v>71901</v>
      </c>
      <c r="H37" s="464">
        <v>10500</v>
      </c>
      <c r="I37" s="451">
        <f t="shared" si="26"/>
        <v>-61401</v>
      </c>
      <c r="J37" s="221">
        <f t="shared" si="19"/>
        <v>-0.85396586973755584</v>
      </c>
      <c r="K37" s="256"/>
      <c r="L37" s="450">
        <v>71901</v>
      </c>
      <c r="M37" s="451">
        <v>10500</v>
      </c>
      <c r="N37" s="451">
        <f t="shared" si="27"/>
        <v>-61401</v>
      </c>
      <c r="O37" s="222">
        <f t="shared" si="20"/>
        <v>-0.85396586973755584</v>
      </c>
      <c r="P37" s="256"/>
      <c r="Q37" s="463">
        <v>71901</v>
      </c>
      <c r="R37" s="464">
        <v>32513.439999999999</v>
      </c>
      <c r="S37" s="451">
        <f t="shared" si="21"/>
        <v>-39387.56</v>
      </c>
      <c r="T37" s="223">
        <f t="shared" si="22"/>
        <v>-0.54780267311998443</v>
      </c>
      <c r="U37" s="256"/>
      <c r="V37" s="450">
        <f t="shared" si="28"/>
        <v>287604</v>
      </c>
      <c r="W37" s="451">
        <f t="shared" si="30"/>
        <v>64013.440000000002</v>
      </c>
      <c r="X37" s="451">
        <f t="shared" si="23"/>
        <v>-223590.56</v>
      </c>
      <c r="Y37" s="222">
        <f t="shared" si="24"/>
        <v>-0.7774250705831629</v>
      </c>
      <c r="Z37" s="257"/>
      <c r="AA37" s="450">
        <v>176300</v>
      </c>
      <c r="AB37" s="452">
        <f t="shared" si="29"/>
        <v>112286.56</v>
      </c>
      <c r="AC37" s="920">
        <f t="shared" si="25"/>
        <v>0.63690618264322174</v>
      </c>
      <c r="AD37" s="937"/>
      <c r="AE37" s="928"/>
    </row>
    <row r="38" spans="1:31" x14ac:dyDescent="0.3">
      <c r="A38" s="190" t="s">
        <v>130</v>
      </c>
      <c r="B38" s="450">
        <v>27225</v>
      </c>
      <c r="C38" s="451">
        <v>17076.419999999998</v>
      </c>
      <c r="D38" s="452">
        <f t="shared" si="17"/>
        <v>-10148.580000000002</v>
      </c>
      <c r="E38" s="220">
        <f t="shared" si="18"/>
        <v>-0.37276694214876038</v>
      </c>
      <c r="F38" s="191"/>
      <c r="G38" s="463">
        <v>27225</v>
      </c>
      <c r="H38" s="464">
        <v>16188.42</v>
      </c>
      <c r="I38" s="451">
        <f t="shared" si="26"/>
        <v>-11036.58</v>
      </c>
      <c r="J38" s="221">
        <f t="shared" si="19"/>
        <v>-0.40538402203856749</v>
      </c>
      <c r="K38" s="191"/>
      <c r="L38" s="450">
        <v>27225</v>
      </c>
      <c r="M38" s="451">
        <v>15784.92</v>
      </c>
      <c r="N38" s="451">
        <f t="shared" si="27"/>
        <v>-11440.08</v>
      </c>
      <c r="O38" s="222">
        <f t="shared" si="20"/>
        <v>-0.42020495867768592</v>
      </c>
      <c r="P38" s="191"/>
      <c r="Q38" s="463">
        <v>27225</v>
      </c>
      <c r="R38" s="464">
        <v>9151.7000000000007</v>
      </c>
      <c r="S38" s="451">
        <f t="shared" si="21"/>
        <v>-18073.3</v>
      </c>
      <c r="T38" s="223">
        <f t="shared" si="22"/>
        <v>-0.66384940312213037</v>
      </c>
      <c r="U38" s="191"/>
      <c r="V38" s="450">
        <f t="shared" si="28"/>
        <v>108900</v>
      </c>
      <c r="W38" s="451">
        <f t="shared" si="30"/>
        <v>58201.459999999992</v>
      </c>
      <c r="X38" s="451">
        <f t="shared" si="23"/>
        <v>-50698.540000000008</v>
      </c>
      <c r="Y38" s="222">
        <f t="shared" si="24"/>
        <v>-0.46555133149678612</v>
      </c>
      <c r="Z38" s="188"/>
      <c r="AA38" s="450">
        <v>87210</v>
      </c>
      <c r="AB38" s="452">
        <f t="shared" si="29"/>
        <v>29008.540000000008</v>
      </c>
      <c r="AC38" s="920">
        <f t="shared" si="25"/>
        <v>0.33262859763788566</v>
      </c>
      <c r="AD38" s="935"/>
      <c r="AE38" s="929"/>
    </row>
    <row r="39" spans="1:31" x14ac:dyDescent="0.3">
      <c r="A39" s="1299" t="s">
        <v>129</v>
      </c>
      <c r="B39" s="642">
        <v>0</v>
      </c>
      <c r="C39" s="451">
        <v>0</v>
      </c>
      <c r="D39" s="452">
        <f t="shared" si="17"/>
        <v>0</v>
      </c>
      <c r="E39" s="220" t="str">
        <f t="shared" si="18"/>
        <v>-</v>
      </c>
      <c r="F39" s="191"/>
      <c r="G39" s="463">
        <v>0</v>
      </c>
      <c r="H39" s="464">
        <v>0</v>
      </c>
      <c r="I39" s="451">
        <f t="shared" si="26"/>
        <v>0</v>
      </c>
      <c r="J39" s="221" t="str">
        <f t="shared" si="19"/>
        <v>-</v>
      </c>
      <c r="K39" s="191"/>
      <c r="L39" s="450">
        <v>0</v>
      </c>
      <c r="M39" s="451">
        <v>0</v>
      </c>
      <c r="N39" s="451">
        <f t="shared" si="27"/>
        <v>0</v>
      </c>
      <c r="O39" s="222" t="str">
        <f t="shared" si="20"/>
        <v>-</v>
      </c>
      <c r="P39" s="191"/>
      <c r="Q39" s="463">
        <v>0</v>
      </c>
      <c r="R39" s="464">
        <v>0</v>
      </c>
      <c r="S39" s="451">
        <f t="shared" si="21"/>
        <v>0</v>
      </c>
      <c r="T39" s="223" t="str">
        <f t="shared" si="22"/>
        <v>-</v>
      </c>
      <c r="U39" s="191"/>
      <c r="V39" s="450">
        <f t="shared" si="28"/>
        <v>0</v>
      </c>
      <c r="W39" s="451">
        <f t="shared" si="30"/>
        <v>0</v>
      </c>
      <c r="X39" s="451">
        <f t="shared" si="23"/>
        <v>0</v>
      </c>
      <c r="Y39" s="222" t="str">
        <f t="shared" si="24"/>
        <v>-</v>
      </c>
      <c r="Z39" s="188"/>
      <c r="AA39" s="450">
        <v>0</v>
      </c>
      <c r="AB39" s="452">
        <f t="shared" si="29"/>
        <v>0</v>
      </c>
      <c r="AC39" s="920" t="str">
        <f t="shared" si="25"/>
        <v>-</v>
      </c>
      <c r="AD39" s="935"/>
      <c r="AE39" s="929"/>
    </row>
    <row r="40" spans="1:31" x14ac:dyDescent="0.3">
      <c r="A40" s="1300" t="s">
        <v>40</v>
      </c>
      <c r="B40" s="655">
        <v>0</v>
      </c>
      <c r="C40" s="451">
        <v>16296.76</v>
      </c>
      <c r="D40" s="452">
        <f t="shared" si="17"/>
        <v>16296.76</v>
      </c>
      <c r="E40" s="259" t="str">
        <f t="shared" si="18"/>
        <v>-</v>
      </c>
      <c r="F40" s="184"/>
      <c r="G40" s="479">
        <v>0</v>
      </c>
      <c r="H40" s="480">
        <v>13351.65</v>
      </c>
      <c r="I40" s="451">
        <f t="shared" si="26"/>
        <v>13351.65</v>
      </c>
      <c r="J40" s="260" t="str">
        <f t="shared" si="19"/>
        <v>-</v>
      </c>
      <c r="K40" s="184"/>
      <c r="L40" s="450">
        <v>0</v>
      </c>
      <c r="M40" s="451">
        <v>15473.87</v>
      </c>
      <c r="N40" s="451">
        <f t="shared" si="27"/>
        <v>15473.87</v>
      </c>
      <c r="O40" s="261" t="str">
        <f t="shared" si="20"/>
        <v>-</v>
      </c>
      <c r="P40" s="184"/>
      <c r="Q40" s="463">
        <v>0</v>
      </c>
      <c r="R40" s="464">
        <v>57866.38</v>
      </c>
      <c r="S40" s="451">
        <f t="shared" si="21"/>
        <v>57866.38</v>
      </c>
      <c r="T40" s="234" t="str">
        <f t="shared" si="22"/>
        <v>-</v>
      </c>
      <c r="U40" s="184"/>
      <c r="V40" s="450">
        <f t="shared" si="28"/>
        <v>0</v>
      </c>
      <c r="W40" s="451">
        <f t="shared" si="30"/>
        <v>102988.66</v>
      </c>
      <c r="X40" s="451">
        <f t="shared" si="23"/>
        <v>102988.66</v>
      </c>
      <c r="Y40" s="261" t="str">
        <f t="shared" si="24"/>
        <v>-</v>
      </c>
      <c r="Z40" s="188"/>
      <c r="AA40" s="450">
        <v>32796</v>
      </c>
      <c r="AB40" s="452">
        <f t="shared" si="29"/>
        <v>-70192.66</v>
      </c>
      <c r="AC40" s="921">
        <f t="shared" si="25"/>
        <v>-2.140281131845347</v>
      </c>
      <c r="AD40" s="934"/>
      <c r="AE40" s="929"/>
    </row>
    <row r="41" spans="1:31" x14ac:dyDescent="0.3">
      <c r="A41" s="1298" t="s">
        <v>83</v>
      </c>
      <c r="B41" s="640">
        <f>SUM(B33:B40)</f>
        <v>501694.25</v>
      </c>
      <c r="C41" s="470">
        <f>SUM(C33:C40)</f>
        <v>333802.43</v>
      </c>
      <c r="D41" s="470">
        <f>SUM(D33:D40)</f>
        <v>-167891.82</v>
      </c>
      <c r="E41" s="237">
        <f t="shared" ref="E41" si="31">IF(ISERROR(D41/B41),"-",D41/B41)</f>
        <v>-0.33464967956080821</v>
      </c>
      <c r="F41" s="191"/>
      <c r="G41" s="469">
        <f>SUM(G33:G40)</f>
        <v>501694.25</v>
      </c>
      <c r="H41" s="470">
        <f>SUM(H33:H40)</f>
        <v>306750.46000000002</v>
      </c>
      <c r="I41" s="470">
        <f>SUM(I33:I40)</f>
        <v>-194943.78999999998</v>
      </c>
      <c r="J41" s="237">
        <f t="shared" si="19"/>
        <v>-0.38857090748000395</v>
      </c>
      <c r="K41" s="191"/>
      <c r="L41" s="469">
        <f>SUM(L33:L40)</f>
        <v>501694.25</v>
      </c>
      <c r="M41" s="470">
        <f>SUM(M33:M40)</f>
        <v>306530.28999999998</v>
      </c>
      <c r="N41" s="470">
        <f>SUM(N33:N40)</f>
        <v>-195163.96</v>
      </c>
      <c r="O41" s="238">
        <f t="shared" si="20"/>
        <v>-0.3890097604267938</v>
      </c>
      <c r="P41" s="191"/>
      <c r="Q41" s="469">
        <f>SUM(Q33:Q40)</f>
        <v>501694.25</v>
      </c>
      <c r="R41" s="470">
        <f>SUM(R33:R40)</f>
        <v>465693.78</v>
      </c>
      <c r="S41" s="470">
        <f>SUM(S33:S40)</f>
        <v>-36000.470000000023</v>
      </c>
      <c r="T41" s="238">
        <f t="shared" si="22"/>
        <v>-7.1757788732878691E-2</v>
      </c>
      <c r="U41" s="191"/>
      <c r="V41" s="469">
        <f>SUM(V33:V40)</f>
        <v>2006777</v>
      </c>
      <c r="W41" s="470">
        <f>SUM(W33:W40)</f>
        <v>1412776.9599999997</v>
      </c>
      <c r="X41" s="470">
        <f>SUM(X33:X40)</f>
        <v>-594000.04</v>
      </c>
      <c r="Y41" s="238">
        <f t="shared" si="24"/>
        <v>-0.29599703405012118</v>
      </c>
      <c r="Z41" s="188"/>
      <c r="AA41" s="471">
        <f>SUM(AA33:AA40)</f>
        <v>1926227</v>
      </c>
      <c r="AB41" s="472">
        <f>SUM(AB33:AB40)</f>
        <v>513450.04000000004</v>
      </c>
      <c r="AC41" s="922">
        <f t="shared" si="25"/>
        <v>0.26655738913430249</v>
      </c>
      <c r="AD41" s="935"/>
      <c r="AE41" s="930"/>
    </row>
    <row r="42" spans="1:31" x14ac:dyDescent="0.3">
      <c r="A42" s="242"/>
      <c r="B42" s="459"/>
      <c r="C42" s="460"/>
      <c r="D42" s="460"/>
      <c r="E42" s="213"/>
      <c r="F42" s="184"/>
      <c r="G42" s="461"/>
      <c r="H42" s="462"/>
      <c r="I42" s="462"/>
      <c r="J42" s="216"/>
      <c r="K42" s="184"/>
      <c r="L42" s="459"/>
      <c r="M42" s="460"/>
      <c r="N42" s="460"/>
      <c r="O42" s="217"/>
      <c r="P42" s="184"/>
      <c r="Q42" s="461"/>
      <c r="R42" s="462"/>
      <c r="S42" s="462"/>
      <c r="T42" s="265"/>
      <c r="U42" s="184"/>
      <c r="V42" s="459"/>
      <c r="W42" s="460"/>
      <c r="X42" s="460"/>
      <c r="Y42" s="217"/>
      <c r="Z42" s="188"/>
      <c r="AA42" s="459"/>
      <c r="AB42" s="460"/>
      <c r="AC42" s="915"/>
      <c r="AD42" s="934"/>
      <c r="AE42" s="928"/>
    </row>
    <row r="43" spans="1:31" x14ac:dyDescent="0.3">
      <c r="A43" s="172" t="s">
        <v>84</v>
      </c>
      <c r="B43" s="481"/>
      <c r="C43" s="482"/>
      <c r="D43" s="482"/>
      <c r="E43" s="268"/>
      <c r="F43" s="175"/>
      <c r="G43" s="483"/>
      <c r="H43" s="484"/>
      <c r="I43" s="484"/>
      <c r="J43" s="271"/>
      <c r="K43" s="175"/>
      <c r="L43" s="481"/>
      <c r="M43" s="482"/>
      <c r="N43" s="482"/>
      <c r="O43" s="272"/>
      <c r="P43" s="175"/>
      <c r="Q43" s="483"/>
      <c r="R43" s="484"/>
      <c r="S43" s="484"/>
      <c r="T43" s="273"/>
      <c r="U43" s="175"/>
      <c r="V43" s="481"/>
      <c r="W43" s="482"/>
      <c r="X43" s="451"/>
      <c r="Y43" s="225"/>
      <c r="Z43" s="179"/>
      <c r="AA43" s="481"/>
      <c r="AB43" s="451"/>
      <c r="AC43" s="916"/>
      <c r="AD43" s="933"/>
      <c r="AE43" s="928"/>
    </row>
    <row r="44" spans="1:31" ht="26.25" customHeight="1" x14ac:dyDescent="0.3">
      <c r="A44" s="190" t="s">
        <v>85</v>
      </c>
      <c r="B44" s="450">
        <v>937243.75</v>
      </c>
      <c r="C44" s="451">
        <v>1123840.05</v>
      </c>
      <c r="D44" s="452">
        <f t="shared" ref="D44:D75" si="32">C44-B44</f>
        <v>186596.30000000005</v>
      </c>
      <c r="E44" s="220">
        <f t="shared" ref="E44:E76" si="33">IF(ISERROR(D44/B44),"-",D44/B44)</f>
        <v>0.19909047139551483</v>
      </c>
      <c r="F44" s="191"/>
      <c r="G44" s="463">
        <v>937243.75</v>
      </c>
      <c r="H44" s="464">
        <v>981508.33</v>
      </c>
      <c r="I44" s="451">
        <f t="shared" ref="I44:I75" si="34">H44-G44</f>
        <v>44264.579999999958</v>
      </c>
      <c r="J44" s="221">
        <f t="shared" ref="J44:J75" si="35">IF(ISERROR(I44/G44),"-",I44/G44)</f>
        <v>4.7228461112704095E-2</v>
      </c>
      <c r="K44" s="191"/>
      <c r="L44" s="450">
        <v>937243.75</v>
      </c>
      <c r="M44" s="451">
        <v>1525582.0099999998</v>
      </c>
      <c r="N44" s="451">
        <f t="shared" ref="N44:N75" si="36">M44-L44</f>
        <v>588338.25999999978</v>
      </c>
      <c r="O44" s="222">
        <f t="shared" ref="O44:O73" si="37">IF(ISERROR(N44/L44),"-",N44/L44)</f>
        <v>0.62773239085349974</v>
      </c>
      <c r="P44" s="191"/>
      <c r="Q44" s="463">
        <v>937243.75</v>
      </c>
      <c r="R44" s="464">
        <v>1646747.46</v>
      </c>
      <c r="S44" s="451">
        <f t="shared" ref="S44:S75" si="38">R44-Q44</f>
        <v>709503.71</v>
      </c>
      <c r="T44" s="223">
        <f t="shared" ref="T44:T72" si="39">IF(ISERROR(S44/Q44),"-",S44/Q44)</f>
        <v>0.7570108736387946</v>
      </c>
      <c r="U44" s="191"/>
      <c r="V44" s="450">
        <f>B44+G44+L44+Q44</f>
        <v>3748975</v>
      </c>
      <c r="W44" s="451">
        <f t="shared" ref="W44:W75" si="40">C44+H44+M44+R44</f>
        <v>5277677.8499999996</v>
      </c>
      <c r="X44" s="451">
        <f t="shared" ref="X44:X75" si="41">W44-V44</f>
        <v>1528702.8499999996</v>
      </c>
      <c r="Y44" s="222">
        <f t="shared" ref="Y44:Y76" si="42">IF(ISERROR(X44/V44),"-",X44/V44)</f>
        <v>0.40776554925012826</v>
      </c>
      <c r="Z44" s="188"/>
      <c r="AA44" s="450">
        <v>3748975</v>
      </c>
      <c r="AB44" s="452">
        <f t="shared" ref="AB44:AB75" si="43">AA44-W44</f>
        <v>-1528702.8499999996</v>
      </c>
      <c r="AC44" s="920">
        <f t="shared" ref="AC44:AC76" si="44">IF(ISERROR(AB44/AA44),"-",AB44/AA44)</f>
        <v>-0.40776554925012826</v>
      </c>
      <c r="AD44" s="935"/>
      <c r="AE44" s="1140" t="s">
        <v>205</v>
      </c>
    </row>
    <row r="45" spans="1:31" x14ac:dyDescent="0.3">
      <c r="A45" s="190" t="s">
        <v>128</v>
      </c>
      <c r="B45" s="450">
        <v>55443</v>
      </c>
      <c r="C45" s="451">
        <v>0</v>
      </c>
      <c r="D45" s="452">
        <f t="shared" si="32"/>
        <v>-55443</v>
      </c>
      <c r="E45" s="220">
        <f t="shared" si="33"/>
        <v>-1</v>
      </c>
      <c r="F45" s="256"/>
      <c r="G45" s="680">
        <v>55443</v>
      </c>
      <c r="H45" s="681">
        <v>0</v>
      </c>
      <c r="I45" s="451">
        <f t="shared" si="34"/>
        <v>-55443</v>
      </c>
      <c r="J45" s="221">
        <f t="shared" si="35"/>
        <v>-1</v>
      </c>
      <c r="K45" s="256"/>
      <c r="L45" s="450">
        <v>55443</v>
      </c>
      <c r="M45" s="451">
        <v>0</v>
      </c>
      <c r="N45" s="451">
        <f t="shared" si="36"/>
        <v>-55443</v>
      </c>
      <c r="O45" s="222">
        <f t="shared" si="37"/>
        <v>-1</v>
      </c>
      <c r="P45" s="256"/>
      <c r="Q45" s="463">
        <v>55443</v>
      </c>
      <c r="R45" s="464">
        <v>0</v>
      </c>
      <c r="S45" s="451">
        <f t="shared" si="38"/>
        <v>-55443</v>
      </c>
      <c r="T45" s="223">
        <f t="shared" si="39"/>
        <v>-1</v>
      </c>
      <c r="U45" s="256"/>
      <c r="V45" s="450">
        <f>B45+G45+L45+Q45</f>
        <v>221772</v>
      </c>
      <c r="W45" s="451">
        <f t="shared" si="40"/>
        <v>0</v>
      </c>
      <c r="X45" s="451">
        <f t="shared" si="41"/>
        <v>-221772</v>
      </c>
      <c r="Y45" s="222">
        <f t="shared" si="42"/>
        <v>-1</v>
      </c>
      <c r="Z45" s="257"/>
      <c r="AA45" s="450">
        <v>221776</v>
      </c>
      <c r="AB45" s="452">
        <f t="shared" si="43"/>
        <v>221776</v>
      </c>
      <c r="AC45" s="920">
        <f t="shared" si="44"/>
        <v>1</v>
      </c>
      <c r="AD45" s="937"/>
      <c r="AE45" s="1119" t="s">
        <v>206</v>
      </c>
    </row>
    <row r="46" spans="1:31" x14ac:dyDescent="0.3">
      <c r="A46" s="190" t="s">
        <v>127</v>
      </c>
      <c r="B46" s="450">
        <v>0</v>
      </c>
      <c r="C46" s="451">
        <v>0</v>
      </c>
      <c r="D46" s="452">
        <f t="shared" si="32"/>
        <v>0</v>
      </c>
      <c r="E46" s="220" t="str">
        <f>IF(ISERROR(D46/B46),"-",D46/B46)</f>
        <v>-</v>
      </c>
      <c r="F46" s="256"/>
      <c r="G46" s="680">
        <v>0</v>
      </c>
      <c r="H46" s="681">
        <v>0</v>
      </c>
      <c r="I46" s="451">
        <f t="shared" si="34"/>
        <v>0</v>
      </c>
      <c r="J46" s="221" t="str">
        <f>IF(ISERROR(I46/G46),"-",I46/G46)</f>
        <v>-</v>
      </c>
      <c r="K46" s="256"/>
      <c r="L46" s="450">
        <v>0</v>
      </c>
      <c r="M46" s="451">
        <v>0</v>
      </c>
      <c r="N46" s="451">
        <f t="shared" si="36"/>
        <v>0</v>
      </c>
      <c r="O46" s="222" t="str">
        <f t="shared" si="37"/>
        <v>-</v>
      </c>
      <c r="P46" s="256"/>
      <c r="Q46" s="463">
        <v>0</v>
      </c>
      <c r="R46" s="464">
        <v>0</v>
      </c>
      <c r="S46" s="451">
        <f t="shared" si="38"/>
        <v>0</v>
      </c>
      <c r="T46" s="223" t="str">
        <f t="shared" si="39"/>
        <v>-</v>
      </c>
      <c r="U46" s="256"/>
      <c r="V46" s="450">
        <f t="shared" ref="V46:V75" si="45">B46+G46+L46+Q46</f>
        <v>0</v>
      </c>
      <c r="W46" s="451">
        <f t="shared" si="40"/>
        <v>0</v>
      </c>
      <c r="X46" s="451">
        <f t="shared" si="41"/>
        <v>0</v>
      </c>
      <c r="Y46" s="222" t="str">
        <f t="shared" si="42"/>
        <v>-</v>
      </c>
      <c r="Z46" s="257"/>
      <c r="AA46" s="450">
        <v>0</v>
      </c>
      <c r="AB46" s="452">
        <f t="shared" si="43"/>
        <v>0</v>
      </c>
      <c r="AC46" s="920" t="str">
        <f t="shared" si="44"/>
        <v>-</v>
      </c>
      <c r="AD46" s="937"/>
      <c r="AE46" s="928"/>
    </row>
    <row r="47" spans="1:31" x14ac:dyDescent="0.3">
      <c r="A47" s="190" t="s">
        <v>86</v>
      </c>
      <c r="B47" s="450">
        <v>9000</v>
      </c>
      <c r="C47" s="451">
        <v>6403.63</v>
      </c>
      <c r="D47" s="452">
        <f t="shared" si="32"/>
        <v>-2596.37</v>
      </c>
      <c r="E47" s="220">
        <f>IF(ISERROR(D47/B47),"-",D47/B47)</f>
        <v>-0.28848555555555555</v>
      </c>
      <c r="F47" s="256"/>
      <c r="G47" s="680">
        <v>9000</v>
      </c>
      <c r="H47" s="681">
        <v>6512.92</v>
      </c>
      <c r="I47" s="451">
        <f t="shared" si="34"/>
        <v>-2487.08</v>
      </c>
      <c r="J47" s="221">
        <f t="shared" si="35"/>
        <v>-0.27634222222222221</v>
      </c>
      <c r="K47" s="256"/>
      <c r="L47" s="450">
        <v>9000</v>
      </c>
      <c r="M47" s="451">
        <v>5466.92</v>
      </c>
      <c r="N47" s="451">
        <f t="shared" si="36"/>
        <v>-3533.08</v>
      </c>
      <c r="O47" s="222">
        <f t="shared" si="37"/>
        <v>-0.39256444444444444</v>
      </c>
      <c r="P47" s="256"/>
      <c r="Q47" s="463">
        <v>9000</v>
      </c>
      <c r="R47" s="464">
        <v>7875.13</v>
      </c>
      <c r="S47" s="451">
        <f t="shared" si="38"/>
        <v>-1124.8699999999999</v>
      </c>
      <c r="T47" s="223">
        <f t="shared" si="39"/>
        <v>-0.12498555555555554</v>
      </c>
      <c r="U47" s="256"/>
      <c r="V47" s="450">
        <f t="shared" si="45"/>
        <v>36000</v>
      </c>
      <c r="W47" s="451">
        <f t="shared" si="40"/>
        <v>26258.600000000002</v>
      </c>
      <c r="X47" s="451">
        <f t="shared" si="41"/>
        <v>-9741.3999999999978</v>
      </c>
      <c r="Y47" s="222">
        <f t="shared" si="42"/>
        <v>-0.27059444444444436</v>
      </c>
      <c r="Z47" s="257"/>
      <c r="AA47" s="450">
        <v>36000</v>
      </c>
      <c r="AB47" s="452">
        <f t="shared" si="43"/>
        <v>9741.3999999999978</v>
      </c>
      <c r="AC47" s="920">
        <f t="shared" si="44"/>
        <v>0.27059444444444436</v>
      </c>
      <c r="AD47" s="937"/>
      <c r="AE47" s="931"/>
    </row>
    <row r="48" spans="1:31" x14ac:dyDescent="0.3">
      <c r="A48" s="190" t="s">
        <v>87</v>
      </c>
      <c r="B48" s="450">
        <v>0</v>
      </c>
      <c r="C48" s="451">
        <v>0</v>
      </c>
      <c r="D48" s="452">
        <f t="shared" si="32"/>
        <v>0</v>
      </c>
      <c r="E48" s="220" t="str">
        <f t="shared" si="33"/>
        <v>-</v>
      </c>
      <c r="F48" s="256"/>
      <c r="G48" s="680">
        <v>0</v>
      </c>
      <c r="H48" s="681">
        <v>0</v>
      </c>
      <c r="I48" s="451">
        <f t="shared" si="34"/>
        <v>0</v>
      </c>
      <c r="J48" s="221" t="str">
        <f t="shared" si="35"/>
        <v>-</v>
      </c>
      <c r="K48" s="256"/>
      <c r="L48" s="450">
        <v>0</v>
      </c>
      <c r="M48" s="451">
        <v>0</v>
      </c>
      <c r="N48" s="451">
        <f t="shared" si="36"/>
        <v>0</v>
      </c>
      <c r="O48" s="222" t="str">
        <f t="shared" si="37"/>
        <v>-</v>
      </c>
      <c r="P48" s="256"/>
      <c r="Q48" s="463">
        <v>0</v>
      </c>
      <c r="R48" s="464">
        <v>0</v>
      </c>
      <c r="S48" s="451">
        <f t="shared" si="38"/>
        <v>0</v>
      </c>
      <c r="T48" s="223" t="str">
        <f t="shared" si="39"/>
        <v>-</v>
      </c>
      <c r="U48" s="256"/>
      <c r="V48" s="450">
        <f t="shared" si="45"/>
        <v>0</v>
      </c>
      <c r="W48" s="451">
        <f t="shared" si="40"/>
        <v>0</v>
      </c>
      <c r="X48" s="451">
        <f t="shared" si="41"/>
        <v>0</v>
      </c>
      <c r="Y48" s="222" t="str">
        <f t="shared" si="42"/>
        <v>-</v>
      </c>
      <c r="Z48" s="257"/>
      <c r="AA48" s="450">
        <v>0</v>
      </c>
      <c r="AB48" s="452">
        <f t="shared" si="43"/>
        <v>0</v>
      </c>
      <c r="AC48" s="920" t="str">
        <f t="shared" si="44"/>
        <v>-</v>
      </c>
      <c r="AD48" s="937"/>
      <c r="AE48" s="928"/>
    </row>
    <row r="49" spans="1:31" x14ac:dyDescent="0.3">
      <c r="A49" s="190" t="s">
        <v>88</v>
      </c>
      <c r="B49" s="450">
        <v>11406</v>
      </c>
      <c r="C49" s="451">
        <v>12265.48</v>
      </c>
      <c r="D49" s="452">
        <f t="shared" si="32"/>
        <v>859.47999999999956</v>
      </c>
      <c r="E49" s="220">
        <f>IF(ISERROR(D49/B49),"-",D49/B49)</f>
        <v>7.535332281255476E-2</v>
      </c>
      <c r="F49" s="191"/>
      <c r="G49" s="680">
        <v>11406</v>
      </c>
      <c r="H49" s="681">
        <v>11566.17</v>
      </c>
      <c r="I49" s="451">
        <f t="shared" si="34"/>
        <v>160.17000000000007</v>
      </c>
      <c r="J49" s="221">
        <f t="shared" si="35"/>
        <v>1.4042609153077335E-2</v>
      </c>
      <c r="K49" s="191"/>
      <c r="L49" s="450">
        <v>11406</v>
      </c>
      <c r="M49" s="451">
        <v>14120.01</v>
      </c>
      <c r="N49" s="451">
        <f t="shared" si="36"/>
        <v>2714.01</v>
      </c>
      <c r="O49" s="222">
        <f t="shared" si="37"/>
        <v>0.23794581799053133</v>
      </c>
      <c r="P49" s="191"/>
      <c r="Q49" s="463">
        <v>11406</v>
      </c>
      <c r="R49" s="464">
        <v>15402.13</v>
      </c>
      <c r="S49" s="451">
        <f t="shared" si="38"/>
        <v>3996.1299999999992</v>
      </c>
      <c r="T49" s="223">
        <f t="shared" si="39"/>
        <v>0.35035332281255471</v>
      </c>
      <c r="U49" s="191"/>
      <c r="V49" s="450">
        <f>B49+G49+L49+Q49</f>
        <v>45624</v>
      </c>
      <c r="W49" s="451">
        <f t="shared" si="40"/>
        <v>53353.79</v>
      </c>
      <c r="X49" s="451">
        <f t="shared" si="41"/>
        <v>7729.7900000000009</v>
      </c>
      <c r="Y49" s="222">
        <f t="shared" si="42"/>
        <v>0.16942376819217958</v>
      </c>
      <c r="Z49" s="188"/>
      <c r="AA49" s="450">
        <v>45620</v>
      </c>
      <c r="AB49" s="452">
        <f t="shared" si="43"/>
        <v>-7733.7900000000009</v>
      </c>
      <c r="AC49" s="920">
        <f t="shared" si="44"/>
        <v>-0.16952630425252085</v>
      </c>
      <c r="AD49" s="935"/>
      <c r="AE49" s="931"/>
    </row>
    <row r="50" spans="1:31" x14ac:dyDescent="0.3">
      <c r="A50" s="190" t="s">
        <v>89</v>
      </c>
      <c r="B50" s="450">
        <v>0</v>
      </c>
      <c r="C50" s="451">
        <v>0</v>
      </c>
      <c r="D50" s="452">
        <f t="shared" si="32"/>
        <v>0</v>
      </c>
      <c r="E50" s="220" t="str">
        <f t="shared" si="33"/>
        <v>-</v>
      </c>
      <c r="F50" s="191"/>
      <c r="G50" s="680">
        <v>0</v>
      </c>
      <c r="H50" s="681">
        <v>0</v>
      </c>
      <c r="I50" s="451">
        <f t="shared" si="34"/>
        <v>0</v>
      </c>
      <c r="J50" s="221" t="str">
        <f t="shared" si="35"/>
        <v>-</v>
      </c>
      <c r="K50" s="191"/>
      <c r="L50" s="450">
        <v>0</v>
      </c>
      <c r="M50" s="451">
        <v>0</v>
      </c>
      <c r="N50" s="451">
        <f t="shared" si="36"/>
        <v>0</v>
      </c>
      <c r="O50" s="222" t="str">
        <f t="shared" si="37"/>
        <v>-</v>
      </c>
      <c r="P50" s="191"/>
      <c r="Q50" s="463">
        <v>0</v>
      </c>
      <c r="R50" s="464">
        <v>0</v>
      </c>
      <c r="S50" s="451">
        <f t="shared" si="38"/>
        <v>0</v>
      </c>
      <c r="T50" s="223" t="str">
        <f t="shared" si="39"/>
        <v>-</v>
      </c>
      <c r="U50" s="191"/>
      <c r="V50" s="450">
        <f t="shared" si="45"/>
        <v>0</v>
      </c>
      <c r="W50" s="451">
        <f t="shared" si="40"/>
        <v>0</v>
      </c>
      <c r="X50" s="451">
        <f t="shared" si="41"/>
        <v>0</v>
      </c>
      <c r="Y50" s="222" t="str">
        <f t="shared" si="42"/>
        <v>-</v>
      </c>
      <c r="Z50" s="188"/>
      <c r="AA50" s="450">
        <v>0</v>
      </c>
      <c r="AB50" s="452">
        <f t="shared" si="43"/>
        <v>0</v>
      </c>
      <c r="AC50" s="920" t="str">
        <f t="shared" si="44"/>
        <v>-</v>
      </c>
      <c r="AD50" s="935"/>
      <c r="AE50" s="931"/>
    </row>
    <row r="51" spans="1:31" x14ac:dyDescent="0.3">
      <c r="A51" s="190" t="s">
        <v>113</v>
      </c>
      <c r="B51" s="450">
        <v>0</v>
      </c>
      <c r="C51" s="451">
        <v>0</v>
      </c>
      <c r="D51" s="452">
        <f t="shared" si="32"/>
        <v>0</v>
      </c>
      <c r="E51" s="220" t="str">
        <f t="shared" si="33"/>
        <v>-</v>
      </c>
      <c r="F51" s="191"/>
      <c r="G51" s="680">
        <v>0</v>
      </c>
      <c r="H51" s="681">
        <v>0</v>
      </c>
      <c r="I51" s="451">
        <f t="shared" si="34"/>
        <v>0</v>
      </c>
      <c r="J51" s="221" t="str">
        <f t="shared" si="35"/>
        <v>-</v>
      </c>
      <c r="K51" s="191"/>
      <c r="L51" s="450">
        <v>0</v>
      </c>
      <c r="M51" s="451">
        <v>0</v>
      </c>
      <c r="N51" s="451">
        <f t="shared" si="36"/>
        <v>0</v>
      </c>
      <c r="O51" s="222"/>
      <c r="P51" s="191"/>
      <c r="Q51" s="463">
        <v>0</v>
      </c>
      <c r="R51" s="464">
        <v>0</v>
      </c>
      <c r="S51" s="451">
        <f t="shared" si="38"/>
        <v>0</v>
      </c>
      <c r="T51" s="223"/>
      <c r="U51" s="191"/>
      <c r="V51" s="450">
        <f t="shared" si="45"/>
        <v>0</v>
      </c>
      <c r="W51" s="451">
        <f t="shared" si="40"/>
        <v>0</v>
      </c>
      <c r="X51" s="451">
        <f t="shared" si="41"/>
        <v>0</v>
      </c>
      <c r="Y51" s="222"/>
      <c r="Z51" s="188"/>
      <c r="AA51" s="450">
        <v>0</v>
      </c>
      <c r="AB51" s="452">
        <f t="shared" si="43"/>
        <v>0</v>
      </c>
      <c r="AC51" s="920" t="str">
        <f t="shared" si="44"/>
        <v>-</v>
      </c>
      <c r="AD51" s="935"/>
      <c r="AE51" s="931"/>
    </row>
    <row r="52" spans="1:31" x14ac:dyDescent="0.3">
      <c r="A52" s="190" t="s">
        <v>126</v>
      </c>
      <c r="B52" s="450">
        <v>0</v>
      </c>
      <c r="C52" s="451">
        <v>0</v>
      </c>
      <c r="D52" s="452">
        <f t="shared" si="32"/>
        <v>0</v>
      </c>
      <c r="E52" s="220" t="str">
        <f t="shared" si="33"/>
        <v>-</v>
      </c>
      <c r="F52" s="256"/>
      <c r="G52" s="680">
        <v>0</v>
      </c>
      <c r="H52" s="681">
        <v>0</v>
      </c>
      <c r="I52" s="451">
        <f t="shared" si="34"/>
        <v>0</v>
      </c>
      <c r="J52" s="221" t="str">
        <f t="shared" si="35"/>
        <v>-</v>
      </c>
      <c r="K52" s="256"/>
      <c r="L52" s="450">
        <v>0</v>
      </c>
      <c r="M52" s="451">
        <v>0</v>
      </c>
      <c r="N52" s="451">
        <f t="shared" si="36"/>
        <v>0</v>
      </c>
      <c r="O52" s="222" t="str">
        <f t="shared" si="37"/>
        <v>-</v>
      </c>
      <c r="P52" s="256"/>
      <c r="Q52" s="463">
        <v>0</v>
      </c>
      <c r="R52" s="464">
        <v>0</v>
      </c>
      <c r="S52" s="451">
        <f t="shared" si="38"/>
        <v>0</v>
      </c>
      <c r="T52" s="223" t="str">
        <f t="shared" si="39"/>
        <v>-</v>
      </c>
      <c r="U52" s="256"/>
      <c r="V52" s="450">
        <f t="shared" si="45"/>
        <v>0</v>
      </c>
      <c r="W52" s="451">
        <f t="shared" si="40"/>
        <v>0</v>
      </c>
      <c r="X52" s="451">
        <f t="shared" si="41"/>
        <v>0</v>
      </c>
      <c r="Y52" s="222" t="str">
        <f t="shared" si="42"/>
        <v>-</v>
      </c>
      <c r="Z52" s="257"/>
      <c r="AA52" s="450">
        <v>0</v>
      </c>
      <c r="AB52" s="452">
        <f t="shared" si="43"/>
        <v>0</v>
      </c>
      <c r="AC52" s="920" t="str">
        <f t="shared" si="44"/>
        <v>-</v>
      </c>
      <c r="AD52" s="937"/>
      <c r="AE52" s="928"/>
    </row>
    <row r="53" spans="1:31" x14ac:dyDescent="0.3">
      <c r="A53" s="190" t="s">
        <v>82</v>
      </c>
      <c r="B53" s="450">
        <v>18000</v>
      </c>
      <c r="C53" s="451">
        <v>19500</v>
      </c>
      <c r="D53" s="452">
        <f t="shared" si="32"/>
        <v>1500</v>
      </c>
      <c r="E53" s="220">
        <f t="shared" si="33"/>
        <v>8.3333333333333329E-2</v>
      </c>
      <c r="F53" s="256"/>
      <c r="G53" s="680">
        <v>18000</v>
      </c>
      <c r="H53" s="681">
        <v>18750</v>
      </c>
      <c r="I53" s="451">
        <f t="shared" si="34"/>
        <v>750</v>
      </c>
      <c r="J53" s="221">
        <f t="shared" si="35"/>
        <v>4.1666666666666664E-2</v>
      </c>
      <c r="K53" s="256"/>
      <c r="L53" s="450">
        <v>18000</v>
      </c>
      <c r="M53" s="451">
        <v>18000</v>
      </c>
      <c r="N53" s="451">
        <f t="shared" si="36"/>
        <v>0</v>
      </c>
      <c r="O53" s="222">
        <f t="shared" si="37"/>
        <v>0</v>
      </c>
      <c r="P53" s="256"/>
      <c r="Q53" s="463">
        <v>18000</v>
      </c>
      <c r="R53" s="464">
        <v>15750</v>
      </c>
      <c r="S53" s="451">
        <f t="shared" si="38"/>
        <v>-2250</v>
      </c>
      <c r="T53" s="223">
        <f t="shared" si="39"/>
        <v>-0.125</v>
      </c>
      <c r="U53" s="256"/>
      <c r="V53" s="450">
        <f t="shared" si="45"/>
        <v>72000</v>
      </c>
      <c r="W53" s="451">
        <f t="shared" si="40"/>
        <v>72000</v>
      </c>
      <c r="X53" s="451">
        <f t="shared" si="41"/>
        <v>0</v>
      </c>
      <c r="Y53" s="222">
        <f t="shared" si="42"/>
        <v>0</v>
      </c>
      <c r="Z53" s="257"/>
      <c r="AA53" s="450">
        <v>72000</v>
      </c>
      <c r="AB53" s="452">
        <f t="shared" si="43"/>
        <v>0</v>
      </c>
      <c r="AC53" s="920">
        <f t="shared" si="44"/>
        <v>0</v>
      </c>
      <c r="AD53" s="937"/>
      <c r="AE53" s="929"/>
    </row>
    <row r="54" spans="1:31" x14ac:dyDescent="0.3">
      <c r="A54" s="190" t="s">
        <v>125</v>
      </c>
      <c r="B54" s="450">
        <v>0</v>
      </c>
      <c r="C54" s="451">
        <v>0</v>
      </c>
      <c r="D54" s="452">
        <f t="shared" si="32"/>
        <v>0</v>
      </c>
      <c r="E54" s="220" t="str">
        <f t="shared" si="33"/>
        <v>-</v>
      </c>
      <c r="F54" s="256"/>
      <c r="G54" s="680">
        <v>0</v>
      </c>
      <c r="H54" s="681">
        <v>0</v>
      </c>
      <c r="I54" s="451">
        <f t="shared" si="34"/>
        <v>0</v>
      </c>
      <c r="J54" s="221" t="str">
        <f t="shared" si="35"/>
        <v>-</v>
      </c>
      <c r="K54" s="256"/>
      <c r="L54" s="450">
        <v>0</v>
      </c>
      <c r="M54" s="451">
        <v>0</v>
      </c>
      <c r="N54" s="451">
        <f t="shared" si="36"/>
        <v>0</v>
      </c>
      <c r="O54" s="222"/>
      <c r="P54" s="256"/>
      <c r="Q54" s="463">
        <v>0</v>
      </c>
      <c r="R54" s="464">
        <v>0</v>
      </c>
      <c r="S54" s="451">
        <f t="shared" si="38"/>
        <v>0</v>
      </c>
      <c r="T54" s="223"/>
      <c r="U54" s="256"/>
      <c r="V54" s="450">
        <f t="shared" si="45"/>
        <v>0</v>
      </c>
      <c r="W54" s="451">
        <f t="shared" si="40"/>
        <v>0</v>
      </c>
      <c r="X54" s="451">
        <f t="shared" si="41"/>
        <v>0</v>
      </c>
      <c r="Y54" s="222"/>
      <c r="Z54" s="257"/>
      <c r="AA54" s="450">
        <v>0</v>
      </c>
      <c r="AB54" s="452">
        <f t="shared" si="43"/>
        <v>0</v>
      </c>
      <c r="AC54" s="920" t="str">
        <f t="shared" si="44"/>
        <v>-</v>
      </c>
      <c r="AD54" s="937"/>
      <c r="AE54" s="929"/>
    </row>
    <row r="55" spans="1:31" x14ac:dyDescent="0.3">
      <c r="A55" s="190" t="s">
        <v>90</v>
      </c>
      <c r="B55" s="450">
        <v>0</v>
      </c>
      <c r="C55" s="451">
        <v>0</v>
      </c>
      <c r="D55" s="452">
        <f t="shared" si="32"/>
        <v>0</v>
      </c>
      <c r="E55" s="220" t="str">
        <f t="shared" si="33"/>
        <v>-</v>
      </c>
      <c r="F55" s="256"/>
      <c r="G55" s="680">
        <v>0</v>
      </c>
      <c r="H55" s="681">
        <v>0</v>
      </c>
      <c r="I55" s="451">
        <f t="shared" si="34"/>
        <v>0</v>
      </c>
      <c r="J55" s="221" t="str">
        <f t="shared" si="35"/>
        <v>-</v>
      </c>
      <c r="K55" s="256"/>
      <c r="L55" s="450">
        <v>0</v>
      </c>
      <c r="M55" s="451">
        <v>0</v>
      </c>
      <c r="N55" s="451">
        <f t="shared" si="36"/>
        <v>0</v>
      </c>
      <c r="O55" s="222" t="str">
        <f t="shared" si="37"/>
        <v>-</v>
      </c>
      <c r="P55" s="256"/>
      <c r="Q55" s="463">
        <v>0</v>
      </c>
      <c r="R55" s="464">
        <v>0</v>
      </c>
      <c r="S55" s="451">
        <f t="shared" si="38"/>
        <v>0</v>
      </c>
      <c r="T55" s="223" t="str">
        <f t="shared" si="39"/>
        <v>-</v>
      </c>
      <c r="U55" s="256"/>
      <c r="V55" s="450">
        <f t="shared" si="45"/>
        <v>0</v>
      </c>
      <c r="W55" s="451">
        <f t="shared" si="40"/>
        <v>0</v>
      </c>
      <c r="X55" s="451">
        <f t="shared" si="41"/>
        <v>0</v>
      </c>
      <c r="Y55" s="222" t="str">
        <f t="shared" si="42"/>
        <v>-</v>
      </c>
      <c r="Z55" s="257"/>
      <c r="AA55" s="450">
        <v>274196</v>
      </c>
      <c r="AB55" s="452">
        <f t="shared" si="43"/>
        <v>274196</v>
      </c>
      <c r="AC55" s="920">
        <f t="shared" si="44"/>
        <v>1</v>
      </c>
      <c r="AD55" s="937"/>
      <c r="AE55" s="929"/>
    </row>
    <row r="56" spans="1:31" x14ac:dyDescent="0.3">
      <c r="A56" s="190" t="s">
        <v>91</v>
      </c>
      <c r="B56" s="450">
        <v>68549</v>
      </c>
      <c r="C56" s="451">
        <v>841.41</v>
      </c>
      <c r="D56" s="452">
        <f t="shared" si="32"/>
        <v>-67707.59</v>
      </c>
      <c r="E56" s="220">
        <f t="shared" si="33"/>
        <v>-0.98772542269033825</v>
      </c>
      <c r="F56" s="256"/>
      <c r="G56" s="463">
        <v>68549</v>
      </c>
      <c r="H56" s="464">
        <v>10024.76</v>
      </c>
      <c r="I56" s="451">
        <f t="shared" si="34"/>
        <v>-58524.24</v>
      </c>
      <c r="J56" s="221">
        <f t="shared" si="35"/>
        <v>-0.85375774993070652</v>
      </c>
      <c r="K56" s="256"/>
      <c r="L56" s="450">
        <v>68549</v>
      </c>
      <c r="M56" s="451">
        <v>16959.759999999998</v>
      </c>
      <c r="N56" s="451">
        <f t="shared" si="36"/>
        <v>-51589.240000000005</v>
      </c>
      <c r="O56" s="222">
        <f t="shared" si="37"/>
        <v>-0.75258924273147687</v>
      </c>
      <c r="P56" s="256"/>
      <c r="Q56" s="463">
        <v>68549</v>
      </c>
      <c r="R56" s="464">
        <v>21607.79</v>
      </c>
      <c r="S56" s="451">
        <f t="shared" si="38"/>
        <v>-46941.21</v>
      </c>
      <c r="T56" s="223">
        <f t="shared" si="39"/>
        <v>-0.68478329370231517</v>
      </c>
      <c r="U56" s="256"/>
      <c r="V56" s="450">
        <f t="shared" si="45"/>
        <v>274196</v>
      </c>
      <c r="W56" s="451">
        <f t="shared" si="40"/>
        <v>49433.72</v>
      </c>
      <c r="X56" s="451">
        <f t="shared" si="41"/>
        <v>-224762.28</v>
      </c>
      <c r="Y56" s="222">
        <f t="shared" si="42"/>
        <v>-0.81971392726370917</v>
      </c>
      <c r="Z56" s="257"/>
      <c r="AA56" s="450">
        <v>17837</v>
      </c>
      <c r="AB56" s="452">
        <f t="shared" si="43"/>
        <v>-31596.720000000001</v>
      </c>
      <c r="AC56" s="920">
        <f t="shared" si="44"/>
        <v>-1.771414475528396</v>
      </c>
      <c r="AD56" s="937"/>
      <c r="AE56" s="1119" t="s">
        <v>207</v>
      </c>
    </row>
    <row r="57" spans="1:31" x14ac:dyDescent="0.3">
      <c r="A57" s="190" t="s">
        <v>92</v>
      </c>
      <c r="B57" s="450">
        <v>0</v>
      </c>
      <c r="C57" s="451">
        <v>0</v>
      </c>
      <c r="D57" s="452">
        <f t="shared" si="32"/>
        <v>0</v>
      </c>
      <c r="E57" s="220" t="str">
        <f t="shared" si="33"/>
        <v>-</v>
      </c>
      <c r="F57" s="256"/>
      <c r="G57" s="680">
        <v>0</v>
      </c>
      <c r="H57" s="681">
        <v>0</v>
      </c>
      <c r="I57" s="451">
        <f t="shared" si="34"/>
        <v>0</v>
      </c>
      <c r="J57" s="221" t="str">
        <f t="shared" si="35"/>
        <v>-</v>
      </c>
      <c r="K57" s="256"/>
      <c r="L57" s="450">
        <v>0</v>
      </c>
      <c r="M57" s="451">
        <v>17024.71</v>
      </c>
      <c r="N57" s="451">
        <f t="shared" si="36"/>
        <v>17024.71</v>
      </c>
      <c r="O57" s="222" t="str">
        <f t="shared" si="37"/>
        <v>-</v>
      </c>
      <c r="P57" s="256"/>
      <c r="Q57" s="463">
        <v>0</v>
      </c>
      <c r="R57" s="464">
        <v>996</v>
      </c>
      <c r="S57" s="451">
        <f t="shared" si="38"/>
        <v>996</v>
      </c>
      <c r="T57" s="223" t="str">
        <f t="shared" si="39"/>
        <v>-</v>
      </c>
      <c r="U57" s="256"/>
      <c r="V57" s="450">
        <f t="shared" si="45"/>
        <v>0</v>
      </c>
      <c r="W57" s="451">
        <f t="shared" si="40"/>
        <v>18020.71</v>
      </c>
      <c r="X57" s="451">
        <f t="shared" si="41"/>
        <v>18020.71</v>
      </c>
      <c r="Y57" s="222" t="str">
        <f t="shared" si="42"/>
        <v>-</v>
      </c>
      <c r="Z57" s="257"/>
      <c r="AA57" s="450">
        <v>445749</v>
      </c>
      <c r="AB57" s="452">
        <f t="shared" si="43"/>
        <v>427728.29</v>
      </c>
      <c r="AC57" s="920">
        <f t="shared" si="44"/>
        <v>0.95957206858568378</v>
      </c>
      <c r="AD57" s="937"/>
      <c r="AE57" s="928"/>
    </row>
    <row r="58" spans="1:31" x14ac:dyDescent="0.3">
      <c r="A58" s="190" t="s">
        <v>93</v>
      </c>
      <c r="B58" s="450">
        <v>111437.25</v>
      </c>
      <c r="C58" s="451">
        <v>53438.21</v>
      </c>
      <c r="D58" s="452">
        <f t="shared" si="32"/>
        <v>-57999.040000000001</v>
      </c>
      <c r="E58" s="220">
        <f t="shared" si="33"/>
        <v>-0.52046366901552221</v>
      </c>
      <c r="F58" s="256"/>
      <c r="G58" s="680">
        <v>111437.25</v>
      </c>
      <c r="H58" s="681">
        <v>47150.400000000001</v>
      </c>
      <c r="I58" s="451">
        <f t="shared" si="34"/>
        <v>-64286.85</v>
      </c>
      <c r="J58" s="221">
        <f t="shared" si="35"/>
        <v>-0.57688833850440491</v>
      </c>
      <c r="K58" s="256"/>
      <c r="L58" s="450">
        <v>111437.25</v>
      </c>
      <c r="M58" s="451">
        <v>190507.49</v>
      </c>
      <c r="N58" s="451">
        <f t="shared" si="36"/>
        <v>79070.239999999991</v>
      </c>
      <c r="O58" s="222">
        <f t="shared" si="37"/>
        <v>0.7095494549623218</v>
      </c>
      <c r="P58" s="256"/>
      <c r="Q58" s="463">
        <v>111437.25</v>
      </c>
      <c r="R58" s="464">
        <v>149108.21</v>
      </c>
      <c r="S58" s="451">
        <f t="shared" si="38"/>
        <v>37670.959999999992</v>
      </c>
      <c r="T58" s="223">
        <f t="shared" si="39"/>
        <v>0.3380463893357023</v>
      </c>
      <c r="U58" s="256"/>
      <c r="V58" s="450">
        <f t="shared" si="45"/>
        <v>445749</v>
      </c>
      <c r="W58" s="451">
        <f t="shared" si="40"/>
        <v>440204.30999999994</v>
      </c>
      <c r="X58" s="451">
        <f t="shared" si="41"/>
        <v>-5544.6900000000605</v>
      </c>
      <c r="Y58" s="222">
        <f t="shared" si="42"/>
        <v>-1.2439040805475863E-2</v>
      </c>
      <c r="Z58" s="257"/>
      <c r="AA58" s="450">
        <v>0</v>
      </c>
      <c r="AB58" s="452">
        <f t="shared" si="43"/>
        <v>-440204.30999999994</v>
      </c>
      <c r="AC58" s="920" t="str">
        <f t="shared" si="44"/>
        <v>-</v>
      </c>
      <c r="AD58" s="937"/>
      <c r="AE58" s="929"/>
    </row>
    <row r="59" spans="1:31" x14ac:dyDescent="0.3">
      <c r="A59" s="190" t="s">
        <v>94</v>
      </c>
      <c r="B59" s="450">
        <v>0</v>
      </c>
      <c r="C59" s="451">
        <v>0</v>
      </c>
      <c r="D59" s="452">
        <f t="shared" si="32"/>
        <v>0</v>
      </c>
      <c r="E59" s="220" t="str">
        <f t="shared" si="33"/>
        <v>-</v>
      </c>
      <c r="F59" s="256"/>
      <c r="G59" s="680">
        <v>0</v>
      </c>
      <c r="H59" s="681">
        <v>0</v>
      </c>
      <c r="I59" s="451">
        <f t="shared" si="34"/>
        <v>0</v>
      </c>
      <c r="J59" s="221" t="str">
        <f t="shared" si="35"/>
        <v>-</v>
      </c>
      <c r="K59" s="256"/>
      <c r="L59" s="450">
        <v>0</v>
      </c>
      <c r="M59" s="451">
        <v>0</v>
      </c>
      <c r="N59" s="451">
        <f t="shared" si="36"/>
        <v>0</v>
      </c>
      <c r="O59" s="222" t="str">
        <f t="shared" si="37"/>
        <v>-</v>
      </c>
      <c r="P59" s="256"/>
      <c r="Q59" s="463">
        <v>0</v>
      </c>
      <c r="R59" s="464">
        <v>0</v>
      </c>
      <c r="S59" s="451">
        <f t="shared" si="38"/>
        <v>0</v>
      </c>
      <c r="T59" s="223" t="str">
        <f t="shared" si="39"/>
        <v>-</v>
      </c>
      <c r="U59" s="256"/>
      <c r="V59" s="450">
        <f t="shared" si="45"/>
        <v>0</v>
      </c>
      <c r="W59" s="451">
        <f t="shared" si="40"/>
        <v>0</v>
      </c>
      <c r="X59" s="451">
        <f t="shared" si="41"/>
        <v>0</v>
      </c>
      <c r="Y59" s="222" t="str">
        <f t="shared" si="42"/>
        <v>-</v>
      </c>
      <c r="Z59" s="257"/>
      <c r="AA59" s="450">
        <v>41507</v>
      </c>
      <c r="AB59" s="452">
        <f t="shared" si="43"/>
        <v>41507</v>
      </c>
      <c r="AC59" s="920">
        <f t="shared" si="44"/>
        <v>1</v>
      </c>
      <c r="AD59" s="937"/>
      <c r="AE59" s="929"/>
    </row>
    <row r="60" spans="1:31" x14ac:dyDescent="0.3">
      <c r="A60" s="190" t="s">
        <v>95</v>
      </c>
      <c r="B60" s="450">
        <v>10377</v>
      </c>
      <c r="C60" s="451">
        <v>12626.720000000001</v>
      </c>
      <c r="D60" s="452">
        <f t="shared" si="32"/>
        <v>2249.7200000000012</v>
      </c>
      <c r="E60" s="220">
        <f t="shared" si="33"/>
        <v>0.21679868940927061</v>
      </c>
      <c r="F60" s="191"/>
      <c r="G60" s="680">
        <v>10377</v>
      </c>
      <c r="H60" s="681">
        <v>6870.8200000000006</v>
      </c>
      <c r="I60" s="451">
        <f t="shared" si="34"/>
        <v>-3506.1799999999994</v>
      </c>
      <c r="J60" s="221">
        <f t="shared" si="35"/>
        <v>-0.33787992676110623</v>
      </c>
      <c r="K60" s="191"/>
      <c r="L60" s="450">
        <v>10377</v>
      </c>
      <c r="M60" s="451">
        <v>19190.89</v>
      </c>
      <c r="N60" s="451">
        <f t="shared" si="36"/>
        <v>8813.89</v>
      </c>
      <c r="O60" s="222">
        <f t="shared" si="37"/>
        <v>0.84936783270694804</v>
      </c>
      <c r="P60" s="191"/>
      <c r="Q60" s="463">
        <v>10377</v>
      </c>
      <c r="R60" s="464">
        <v>7400.68</v>
      </c>
      <c r="S60" s="451">
        <f t="shared" si="38"/>
        <v>-2976.3199999999997</v>
      </c>
      <c r="T60" s="223">
        <f t="shared" si="39"/>
        <v>-0.28681892647200535</v>
      </c>
      <c r="U60" s="191"/>
      <c r="V60" s="450">
        <f t="shared" si="45"/>
        <v>41508</v>
      </c>
      <c r="W60" s="451">
        <f t="shared" si="40"/>
        <v>46089.11</v>
      </c>
      <c r="X60" s="451">
        <f t="shared" si="41"/>
        <v>4581.1100000000006</v>
      </c>
      <c r="Y60" s="222">
        <f t="shared" si="42"/>
        <v>0.11036691722077673</v>
      </c>
      <c r="Z60" s="188"/>
      <c r="AA60" s="450">
        <v>15000</v>
      </c>
      <c r="AB60" s="452">
        <f t="shared" si="43"/>
        <v>-31089.11</v>
      </c>
      <c r="AC60" s="920">
        <f t="shared" si="44"/>
        <v>-2.0726073333333335</v>
      </c>
      <c r="AD60" s="935"/>
      <c r="AE60" s="929"/>
    </row>
    <row r="61" spans="1:31" x14ac:dyDescent="0.3">
      <c r="A61" s="190" t="s">
        <v>96</v>
      </c>
      <c r="B61" s="450">
        <v>3750</v>
      </c>
      <c r="C61" s="451">
        <v>4168.76</v>
      </c>
      <c r="D61" s="452">
        <f t="shared" si="32"/>
        <v>418.76000000000022</v>
      </c>
      <c r="E61" s="220">
        <f t="shared" si="33"/>
        <v>0.1116693333333334</v>
      </c>
      <c r="F61" s="191"/>
      <c r="G61" s="680">
        <v>3750</v>
      </c>
      <c r="H61" s="681">
        <v>3414.41</v>
      </c>
      <c r="I61" s="451">
        <f t="shared" si="34"/>
        <v>-335.59000000000015</v>
      </c>
      <c r="J61" s="221">
        <f t="shared" si="35"/>
        <v>-8.9490666666666704E-2</v>
      </c>
      <c r="K61" s="191"/>
      <c r="L61" s="450">
        <v>3750</v>
      </c>
      <c r="M61" s="451">
        <v>2685.87</v>
      </c>
      <c r="N61" s="451">
        <f t="shared" si="36"/>
        <v>-1064.1300000000001</v>
      </c>
      <c r="O61" s="222">
        <f t="shared" si="37"/>
        <v>-0.28376800000000002</v>
      </c>
      <c r="P61" s="191"/>
      <c r="Q61" s="463">
        <v>3750</v>
      </c>
      <c r="R61" s="464">
        <v>6410.07</v>
      </c>
      <c r="S61" s="451">
        <f t="shared" si="38"/>
        <v>2660.0699999999997</v>
      </c>
      <c r="T61" s="223">
        <f t="shared" si="39"/>
        <v>0.70935199999999987</v>
      </c>
      <c r="U61" s="191"/>
      <c r="V61" s="450">
        <f t="shared" si="45"/>
        <v>15000</v>
      </c>
      <c r="W61" s="451">
        <f t="shared" si="40"/>
        <v>16679.11</v>
      </c>
      <c r="X61" s="451">
        <f t="shared" si="41"/>
        <v>1679.1100000000006</v>
      </c>
      <c r="Y61" s="222">
        <f t="shared" si="42"/>
        <v>0.1119406666666667</v>
      </c>
      <c r="Z61" s="188"/>
      <c r="AA61" s="450">
        <v>1169361</v>
      </c>
      <c r="AB61" s="452">
        <f t="shared" si="43"/>
        <v>1152681.8899999999</v>
      </c>
      <c r="AC61" s="920">
        <f t="shared" si="44"/>
        <v>0.98573656039495061</v>
      </c>
      <c r="AD61" s="935"/>
      <c r="AE61" s="929"/>
    </row>
    <row r="62" spans="1:31" x14ac:dyDescent="0.3">
      <c r="A62" s="190" t="s">
        <v>110</v>
      </c>
      <c r="B62" s="450">
        <v>281043.38</v>
      </c>
      <c r="C62" s="451">
        <v>257388.84</v>
      </c>
      <c r="D62" s="452">
        <f t="shared" si="32"/>
        <v>-23654.540000000008</v>
      </c>
      <c r="E62" s="220">
        <f t="shared" si="33"/>
        <v>-8.4166864204380146E-2</v>
      </c>
      <c r="F62" s="191"/>
      <c r="G62" s="463">
        <v>281043.38</v>
      </c>
      <c r="H62" s="464">
        <v>235460.68</v>
      </c>
      <c r="I62" s="451">
        <f t="shared" si="34"/>
        <v>-45582.700000000012</v>
      </c>
      <c r="J62" s="221">
        <f t="shared" si="35"/>
        <v>-0.16219097564226564</v>
      </c>
      <c r="K62" s="191"/>
      <c r="L62" s="450">
        <v>281043.38</v>
      </c>
      <c r="M62" s="451">
        <v>347993.4</v>
      </c>
      <c r="N62" s="451">
        <f t="shared" si="36"/>
        <v>66950.020000000019</v>
      </c>
      <c r="O62" s="222">
        <f t="shared" si="37"/>
        <v>0.23821952326363288</v>
      </c>
      <c r="P62" s="191"/>
      <c r="Q62" s="463">
        <v>281043.38</v>
      </c>
      <c r="R62" s="464">
        <v>303566.52</v>
      </c>
      <c r="S62" s="451">
        <f t="shared" si="38"/>
        <v>22523.140000000014</v>
      </c>
      <c r="T62" s="223">
        <f t="shared" si="39"/>
        <v>8.0141151163211938E-2</v>
      </c>
      <c r="U62" s="191"/>
      <c r="V62" s="450">
        <f t="shared" si="45"/>
        <v>1124173.52</v>
      </c>
      <c r="W62" s="451">
        <f t="shared" si="40"/>
        <v>1144409.44</v>
      </c>
      <c r="X62" s="451">
        <f t="shared" si="41"/>
        <v>20235.919999999925</v>
      </c>
      <c r="Y62" s="222">
        <f t="shared" si="42"/>
        <v>1.8000708645049678E-2</v>
      </c>
      <c r="Z62" s="188"/>
      <c r="AA62" s="450">
        <v>0</v>
      </c>
      <c r="AB62" s="452">
        <f t="shared" si="43"/>
        <v>-1144409.44</v>
      </c>
      <c r="AC62" s="920" t="str">
        <f t="shared" si="44"/>
        <v>-</v>
      </c>
      <c r="AD62" s="935"/>
      <c r="AE62" s="929"/>
    </row>
    <row r="63" spans="1:31" x14ac:dyDescent="0.3">
      <c r="A63" s="190" t="s">
        <v>124</v>
      </c>
      <c r="B63" s="450">
        <v>0</v>
      </c>
      <c r="C63" s="451">
        <v>0</v>
      </c>
      <c r="D63" s="452">
        <f t="shared" si="32"/>
        <v>0</v>
      </c>
      <c r="E63" s="220" t="str">
        <f t="shared" si="33"/>
        <v>-</v>
      </c>
      <c r="F63" s="191"/>
      <c r="G63" s="680">
        <v>0</v>
      </c>
      <c r="H63" s="681">
        <v>0</v>
      </c>
      <c r="I63" s="451">
        <f t="shared" si="34"/>
        <v>0</v>
      </c>
      <c r="J63" s="221" t="str">
        <f t="shared" si="35"/>
        <v>-</v>
      </c>
      <c r="K63" s="191"/>
      <c r="L63" s="450">
        <v>0</v>
      </c>
      <c r="M63" s="451">
        <v>0</v>
      </c>
      <c r="N63" s="451">
        <f t="shared" si="36"/>
        <v>0</v>
      </c>
      <c r="O63" s="222" t="str">
        <f t="shared" si="37"/>
        <v>-</v>
      </c>
      <c r="P63" s="191"/>
      <c r="Q63" s="463">
        <v>0</v>
      </c>
      <c r="R63" s="464">
        <v>0</v>
      </c>
      <c r="S63" s="451">
        <f t="shared" si="38"/>
        <v>0</v>
      </c>
      <c r="T63" s="223" t="str">
        <f t="shared" si="39"/>
        <v>-</v>
      </c>
      <c r="U63" s="191"/>
      <c r="V63" s="450">
        <f t="shared" si="45"/>
        <v>0</v>
      </c>
      <c r="W63" s="451">
        <f t="shared" si="40"/>
        <v>0</v>
      </c>
      <c r="X63" s="451">
        <f t="shared" si="41"/>
        <v>0</v>
      </c>
      <c r="Y63" s="222" t="str">
        <f t="shared" si="42"/>
        <v>-</v>
      </c>
      <c r="Z63" s="188"/>
      <c r="AA63" s="450">
        <v>0</v>
      </c>
      <c r="AB63" s="452">
        <f t="shared" si="43"/>
        <v>0</v>
      </c>
      <c r="AC63" s="920" t="str">
        <f t="shared" si="44"/>
        <v>-</v>
      </c>
      <c r="AD63" s="935"/>
      <c r="AE63" s="929"/>
    </row>
    <row r="64" spans="1:31" x14ac:dyDescent="0.3">
      <c r="A64" s="190" t="s">
        <v>123</v>
      </c>
      <c r="B64" s="450">
        <v>0</v>
      </c>
      <c r="C64" s="451">
        <v>0</v>
      </c>
      <c r="D64" s="452">
        <f t="shared" si="32"/>
        <v>0</v>
      </c>
      <c r="E64" s="220" t="str">
        <f t="shared" si="33"/>
        <v>-</v>
      </c>
      <c r="F64" s="256"/>
      <c r="G64" s="680">
        <v>0</v>
      </c>
      <c r="H64" s="681">
        <v>0</v>
      </c>
      <c r="I64" s="451">
        <f t="shared" si="34"/>
        <v>0</v>
      </c>
      <c r="J64" s="221" t="str">
        <f t="shared" si="35"/>
        <v>-</v>
      </c>
      <c r="K64" s="256"/>
      <c r="L64" s="450">
        <v>0</v>
      </c>
      <c r="M64" s="451">
        <v>0</v>
      </c>
      <c r="N64" s="451">
        <f t="shared" si="36"/>
        <v>0</v>
      </c>
      <c r="O64" s="222" t="str">
        <f t="shared" si="37"/>
        <v>-</v>
      </c>
      <c r="P64" s="256"/>
      <c r="Q64" s="463">
        <v>0</v>
      </c>
      <c r="R64" s="464">
        <v>0</v>
      </c>
      <c r="S64" s="451">
        <f t="shared" si="38"/>
        <v>0</v>
      </c>
      <c r="T64" s="223" t="str">
        <f t="shared" si="39"/>
        <v>-</v>
      </c>
      <c r="U64" s="256"/>
      <c r="V64" s="450">
        <f t="shared" si="45"/>
        <v>0</v>
      </c>
      <c r="W64" s="451">
        <f t="shared" si="40"/>
        <v>0</v>
      </c>
      <c r="X64" s="451">
        <f t="shared" si="41"/>
        <v>0</v>
      </c>
      <c r="Y64" s="222" t="str">
        <f t="shared" si="42"/>
        <v>-</v>
      </c>
      <c r="Z64" s="257"/>
      <c r="AA64" s="450">
        <v>623360</v>
      </c>
      <c r="AB64" s="452">
        <f t="shared" si="43"/>
        <v>623360</v>
      </c>
      <c r="AC64" s="920">
        <f t="shared" si="44"/>
        <v>1</v>
      </c>
      <c r="AD64" s="937"/>
      <c r="AE64" s="929"/>
    </row>
    <row r="65" spans="1:31" x14ac:dyDescent="0.3">
      <c r="A65" s="190" t="s">
        <v>122</v>
      </c>
      <c r="B65" s="450">
        <v>155840</v>
      </c>
      <c r="C65" s="451">
        <v>154328.22</v>
      </c>
      <c r="D65" s="452">
        <f t="shared" si="32"/>
        <v>-1511.7799999999988</v>
      </c>
      <c r="E65" s="220">
        <f t="shared" si="33"/>
        <v>-9.7008470225872622E-3</v>
      </c>
      <c r="F65" s="256"/>
      <c r="G65" s="680">
        <v>155840</v>
      </c>
      <c r="H65" s="681">
        <v>154328.22</v>
      </c>
      <c r="I65" s="451">
        <f t="shared" si="34"/>
        <v>-1511.7799999999988</v>
      </c>
      <c r="J65" s="221">
        <f t="shared" si="35"/>
        <v>-9.7008470225872622E-3</v>
      </c>
      <c r="K65" s="256"/>
      <c r="L65" s="450">
        <v>155840</v>
      </c>
      <c r="M65" s="451">
        <v>154328.22</v>
      </c>
      <c r="N65" s="451">
        <f t="shared" si="36"/>
        <v>-1511.7799999999988</v>
      </c>
      <c r="O65" s="222">
        <f t="shared" si="37"/>
        <v>-9.7008470225872622E-3</v>
      </c>
      <c r="P65" s="256"/>
      <c r="Q65" s="463">
        <v>155840</v>
      </c>
      <c r="R65" s="464">
        <v>176761.52</v>
      </c>
      <c r="S65" s="451">
        <f t="shared" si="38"/>
        <v>20921.51999999999</v>
      </c>
      <c r="T65" s="223">
        <f t="shared" si="39"/>
        <v>0.13424999999999992</v>
      </c>
      <c r="U65" s="256"/>
      <c r="V65" s="450">
        <f t="shared" si="45"/>
        <v>623360</v>
      </c>
      <c r="W65" s="451">
        <f t="shared" si="40"/>
        <v>639746.18000000005</v>
      </c>
      <c r="X65" s="451">
        <f t="shared" si="41"/>
        <v>16386.180000000051</v>
      </c>
      <c r="Y65" s="222">
        <f t="shared" si="42"/>
        <v>2.628686473305963E-2</v>
      </c>
      <c r="Z65" s="257"/>
      <c r="AA65" s="450">
        <v>0</v>
      </c>
      <c r="AB65" s="452">
        <f t="shared" si="43"/>
        <v>-639746.18000000005</v>
      </c>
      <c r="AC65" s="920" t="str">
        <f t="shared" si="44"/>
        <v>-</v>
      </c>
      <c r="AD65" s="937"/>
      <c r="AE65" s="928"/>
    </row>
    <row r="66" spans="1:31" x14ac:dyDescent="0.3">
      <c r="A66" s="190" t="s">
        <v>114</v>
      </c>
      <c r="B66" s="450">
        <v>0</v>
      </c>
      <c r="C66" s="451">
        <v>0</v>
      </c>
      <c r="D66" s="452">
        <f t="shared" si="32"/>
        <v>0</v>
      </c>
      <c r="E66" s="220" t="str">
        <f t="shared" si="33"/>
        <v>-</v>
      </c>
      <c r="F66" s="256"/>
      <c r="G66" s="680">
        <v>0</v>
      </c>
      <c r="H66" s="681">
        <v>0</v>
      </c>
      <c r="I66" s="451">
        <f t="shared" si="34"/>
        <v>0</v>
      </c>
      <c r="J66" s="221" t="str">
        <f t="shared" si="35"/>
        <v>-</v>
      </c>
      <c r="K66" s="256"/>
      <c r="L66" s="450">
        <v>0</v>
      </c>
      <c r="M66" s="451">
        <v>0</v>
      </c>
      <c r="N66" s="451">
        <f t="shared" si="36"/>
        <v>0</v>
      </c>
      <c r="O66" s="222" t="str">
        <f t="shared" si="37"/>
        <v>-</v>
      </c>
      <c r="P66" s="256"/>
      <c r="Q66" s="463">
        <v>0</v>
      </c>
      <c r="R66" s="464">
        <v>0</v>
      </c>
      <c r="S66" s="451">
        <f t="shared" si="38"/>
        <v>0</v>
      </c>
      <c r="T66" s="223" t="str">
        <f t="shared" si="39"/>
        <v>-</v>
      </c>
      <c r="U66" s="256"/>
      <c r="V66" s="450">
        <f t="shared" si="45"/>
        <v>0</v>
      </c>
      <c r="W66" s="451">
        <f t="shared" si="40"/>
        <v>0</v>
      </c>
      <c r="X66" s="451">
        <f t="shared" si="41"/>
        <v>0</v>
      </c>
      <c r="Y66" s="222" t="str">
        <f t="shared" si="42"/>
        <v>-</v>
      </c>
      <c r="Z66" s="257"/>
      <c r="AA66" s="450">
        <v>85428</v>
      </c>
      <c r="AB66" s="452">
        <f t="shared" si="43"/>
        <v>85428</v>
      </c>
      <c r="AC66" s="920">
        <f t="shared" si="44"/>
        <v>1</v>
      </c>
      <c r="AD66" s="937"/>
      <c r="AE66" s="929"/>
    </row>
    <row r="67" spans="1:31" x14ac:dyDescent="0.3">
      <c r="A67" s="190" t="s">
        <v>115</v>
      </c>
      <c r="B67" s="450">
        <v>21312</v>
      </c>
      <c r="C67" s="451">
        <v>16950</v>
      </c>
      <c r="D67" s="452">
        <f t="shared" si="32"/>
        <v>-4362</v>
      </c>
      <c r="E67" s="220">
        <f t="shared" si="33"/>
        <v>-0.20467342342342343</v>
      </c>
      <c r="F67" s="191"/>
      <c r="G67" s="680">
        <v>21312</v>
      </c>
      <c r="H67" s="681">
        <v>16950</v>
      </c>
      <c r="I67" s="451">
        <f t="shared" si="34"/>
        <v>-4362</v>
      </c>
      <c r="J67" s="221">
        <f t="shared" si="35"/>
        <v>-0.20467342342342343</v>
      </c>
      <c r="K67" s="191"/>
      <c r="L67" s="450">
        <v>21312</v>
      </c>
      <c r="M67" s="451">
        <v>16950</v>
      </c>
      <c r="N67" s="451">
        <f t="shared" si="36"/>
        <v>-4362</v>
      </c>
      <c r="O67" s="222">
        <f t="shared" si="37"/>
        <v>-0.20467342342342343</v>
      </c>
      <c r="P67" s="191"/>
      <c r="Q67" s="463">
        <v>21312</v>
      </c>
      <c r="R67" s="464">
        <v>24295</v>
      </c>
      <c r="S67" s="451">
        <f t="shared" si="38"/>
        <v>2983</v>
      </c>
      <c r="T67" s="223">
        <f t="shared" si="39"/>
        <v>0.1399680930930931</v>
      </c>
      <c r="U67" s="191"/>
      <c r="V67" s="450">
        <f t="shared" si="45"/>
        <v>85248</v>
      </c>
      <c r="W67" s="451">
        <f t="shared" si="40"/>
        <v>75145</v>
      </c>
      <c r="X67" s="451">
        <f t="shared" si="41"/>
        <v>-10103</v>
      </c>
      <c r="Y67" s="222">
        <f t="shared" si="42"/>
        <v>-0.1185130442942943</v>
      </c>
      <c r="Z67" s="188"/>
      <c r="AA67" s="450">
        <v>0</v>
      </c>
      <c r="AB67" s="452">
        <f t="shared" si="43"/>
        <v>-75145</v>
      </c>
      <c r="AC67" s="920" t="str">
        <f t="shared" si="44"/>
        <v>-</v>
      </c>
      <c r="AD67" s="935"/>
      <c r="AE67" s="928"/>
    </row>
    <row r="68" spans="1:31" x14ac:dyDescent="0.3">
      <c r="A68" s="190" t="s">
        <v>121</v>
      </c>
      <c r="B68" s="450">
        <v>0</v>
      </c>
      <c r="C68" s="451">
        <v>0</v>
      </c>
      <c r="D68" s="452">
        <f t="shared" si="32"/>
        <v>0</v>
      </c>
      <c r="E68" s="220" t="str">
        <f t="shared" si="33"/>
        <v>-</v>
      </c>
      <c r="F68" s="256"/>
      <c r="G68" s="680">
        <v>0</v>
      </c>
      <c r="H68" s="681">
        <v>0</v>
      </c>
      <c r="I68" s="451">
        <f t="shared" si="34"/>
        <v>0</v>
      </c>
      <c r="J68" s="221" t="str">
        <f t="shared" si="35"/>
        <v>-</v>
      </c>
      <c r="K68" s="256"/>
      <c r="L68" s="450">
        <v>0</v>
      </c>
      <c r="M68" s="451">
        <v>0</v>
      </c>
      <c r="N68" s="451">
        <f t="shared" si="36"/>
        <v>0</v>
      </c>
      <c r="O68" s="222" t="str">
        <f t="shared" si="37"/>
        <v>-</v>
      </c>
      <c r="P68" s="256"/>
      <c r="Q68" s="463">
        <v>0</v>
      </c>
      <c r="R68" s="464">
        <v>0</v>
      </c>
      <c r="S68" s="451">
        <f t="shared" si="38"/>
        <v>0</v>
      </c>
      <c r="T68" s="223" t="str">
        <f t="shared" si="39"/>
        <v>-</v>
      </c>
      <c r="U68" s="256"/>
      <c r="V68" s="450">
        <f t="shared" si="45"/>
        <v>0</v>
      </c>
      <c r="W68" s="451">
        <f t="shared" si="40"/>
        <v>0</v>
      </c>
      <c r="X68" s="451">
        <f t="shared" si="41"/>
        <v>0</v>
      </c>
      <c r="Y68" s="222" t="str">
        <f t="shared" si="42"/>
        <v>-</v>
      </c>
      <c r="Z68" s="257"/>
      <c r="AA68" s="450">
        <v>300000</v>
      </c>
      <c r="AB68" s="452">
        <f t="shared" si="43"/>
        <v>300000</v>
      </c>
      <c r="AC68" s="920">
        <f t="shared" si="44"/>
        <v>1</v>
      </c>
      <c r="AD68" s="937"/>
      <c r="AE68" s="928"/>
    </row>
    <row r="69" spans="1:31" x14ac:dyDescent="0.3">
      <c r="A69" s="190" t="s">
        <v>97</v>
      </c>
      <c r="B69" s="450">
        <v>75000</v>
      </c>
      <c r="C69" s="451">
        <v>60081.27</v>
      </c>
      <c r="D69" s="452">
        <f t="shared" si="32"/>
        <v>-14918.730000000003</v>
      </c>
      <c r="E69" s="220">
        <f t="shared" si="33"/>
        <v>-0.19891640000000005</v>
      </c>
      <c r="F69" s="256"/>
      <c r="G69" s="680">
        <v>75000</v>
      </c>
      <c r="H69" s="681">
        <v>47121.67</v>
      </c>
      <c r="I69" s="451">
        <f t="shared" si="34"/>
        <v>-27878.33</v>
      </c>
      <c r="J69" s="221">
        <f t="shared" si="35"/>
        <v>-0.3717110666666667</v>
      </c>
      <c r="K69" s="256"/>
      <c r="L69" s="450">
        <v>75000</v>
      </c>
      <c r="M69" s="451">
        <v>83468.61</v>
      </c>
      <c r="N69" s="451">
        <f t="shared" si="36"/>
        <v>8468.61</v>
      </c>
      <c r="O69" s="222">
        <f t="shared" si="37"/>
        <v>0.11291480000000001</v>
      </c>
      <c r="P69" s="256"/>
      <c r="Q69" s="463">
        <v>75000</v>
      </c>
      <c r="R69" s="464">
        <v>21352.71</v>
      </c>
      <c r="S69" s="451">
        <f t="shared" si="38"/>
        <v>-53647.29</v>
      </c>
      <c r="T69" s="223">
        <f t="shared" si="39"/>
        <v>-0.71529719999999997</v>
      </c>
      <c r="U69" s="256"/>
      <c r="V69" s="450">
        <f t="shared" si="45"/>
        <v>300000</v>
      </c>
      <c r="W69" s="451">
        <f t="shared" si="40"/>
        <v>212024.25999999998</v>
      </c>
      <c r="X69" s="451">
        <f t="shared" si="41"/>
        <v>-87975.74000000002</v>
      </c>
      <c r="Y69" s="222">
        <f t="shared" si="42"/>
        <v>-0.29325246666666671</v>
      </c>
      <c r="Z69" s="257"/>
      <c r="AA69" s="450">
        <v>26882</v>
      </c>
      <c r="AB69" s="452">
        <f t="shared" si="43"/>
        <v>-185142.25999999998</v>
      </c>
      <c r="AC69" s="920">
        <f t="shared" si="44"/>
        <v>-6.8872204449073724</v>
      </c>
      <c r="AD69" s="937"/>
      <c r="AE69" s="929"/>
    </row>
    <row r="70" spans="1:31" x14ac:dyDescent="0.3">
      <c r="A70" s="190" t="s">
        <v>98</v>
      </c>
      <c r="B70" s="450">
        <v>6720</v>
      </c>
      <c r="C70" s="451">
        <v>510.22</v>
      </c>
      <c r="D70" s="452">
        <f t="shared" si="32"/>
        <v>-6209.78</v>
      </c>
      <c r="E70" s="220">
        <f t="shared" si="33"/>
        <v>-0.92407440476190472</v>
      </c>
      <c r="F70" s="191"/>
      <c r="G70" s="680">
        <v>6720</v>
      </c>
      <c r="H70" s="681">
        <v>2366.06</v>
      </c>
      <c r="I70" s="451">
        <f t="shared" si="34"/>
        <v>-4353.9400000000005</v>
      </c>
      <c r="J70" s="221">
        <f t="shared" si="35"/>
        <v>-0.64790773809523816</v>
      </c>
      <c r="K70" s="191"/>
      <c r="L70" s="450">
        <v>6720</v>
      </c>
      <c r="M70" s="451">
        <v>4046.59</v>
      </c>
      <c r="N70" s="451">
        <f t="shared" si="36"/>
        <v>-2673.41</v>
      </c>
      <c r="O70" s="222">
        <f t="shared" si="37"/>
        <v>-0.39782886904761905</v>
      </c>
      <c r="P70" s="191"/>
      <c r="Q70" s="463">
        <v>6720</v>
      </c>
      <c r="R70" s="464">
        <v>3184.94</v>
      </c>
      <c r="S70" s="451">
        <f t="shared" si="38"/>
        <v>-3535.06</v>
      </c>
      <c r="T70" s="223">
        <f t="shared" si="39"/>
        <v>-0.52605059523809528</v>
      </c>
      <c r="U70" s="191"/>
      <c r="V70" s="450">
        <f t="shared" si="45"/>
        <v>26880</v>
      </c>
      <c r="W70" s="451">
        <f t="shared" si="40"/>
        <v>10107.81</v>
      </c>
      <c r="X70" s="451">
        <f t="shared" si="41"/>
        <v>-16772.190000000002</v>
      </c>
      <c r="Y70" s="222">
        <f t="shared" si="42"/>
        <v>-0.62396540178571436</v>
      </c>
      <c r="Z70" s="188"/>
      <c r="AA70" s="450">
        <v>84417</v>
      </c>
      <c r="AB70" s="452">
        <f t="shared" si="43"/>
        <v>74309.19</v>
      </c>
      <c r="AC70" s="920">
        <f t="shared" si="44"/>
        <v>0.88026333558406489</v>
      </c>
      <c r="AD70" s="935"/>
      <c r="AE70" s="929"/>
    </row>
    <row r="71" spans="1:31" x14ac:dyDescent="0.3">
      <c r="A71" s="190" t="s">
        <v>116</v>
      </c>
      <c r="B71" s="450">
        <v>0</v>
      </c>
      <c r="C71" s="451">
        <v>0</v>
      </c>
      <c r="D71" s="452">
        <f t="shared" si="32"/>
        <v>0</v>
      </c>
      <c r="E71" s="220" t="str">
        <f t="shared" si="33"/>
        <v>-</v>
      </c>
      <c r="F71" s="256"/>
      <c r="G71" s="680">
        <v>0</v>
      </c>
      <c r="H71" s="681">
        <v>0</v>
      </c>
      <c r="I71" s="451">
        <f t="shared" si="34"/>
        <v>0</v>
      </c>
      <c r="J71" s="221" t="str">
        <f t="shared" si="35"/>
        <v>-</v>
      </c>
      <c r="K71" s="256"/>
      <c r="L71" s="450">
        <v>0</v>
      </c>
      <c r="M71" s="451">
        <v>0</v>
      </c>
      <c r="N71" s="451">
        <f t="shared" si="36"/>
        <v>0</v>
      </c>
      <c r="O71" s="222" t="str">
        <f t="shared" si="37"/>
        <v>-</v>
      </c>
      <c r="P71" s="256"/>
      <c r="Q71" s="463">
        <v>0</v>
      </c>
      <c r="R71" s="464">
        <v>0</v>
      </c>
      <c r="S71" s="451">
        <f t="shared" si="38"/>
        <v>0</v>
      </c>
      <c r="T71" s="223" t="str">
        <f t="shared" si="39"/>
        <v>-</v>
      </c>
      <c r="U71" s="256"/>
      <c r="V71" s="450">
        <f t="shared" si="45"/>
        <v>0</v>
      </c>
      <c r="W71" s="451">
        <f t="shared" si="40"/>
        <v>0</v>
      </c>
      <c r="X71" s="451">
        <f t="shared" si="41"/>
        <v>0</v>
      </c>
      <c r="Y71" s="222" t="str">
        <f t="shared" si="42"/>
        <v>-</v>
      </c>
      <c r="Z71" s="257"/>
      <c r="AA71" s="450">
        <v>158500</v>
      </c>
      <c r="AB71" s="452">
        <f t="shared" si="43"/>
        <v>158500</v>
      </c>
      <c r="AC71" s="920">
        <f t="shared" si="44"/>
        <v>1</v>
      </c>
      <c r="AD71" s="937"/>
      <c r="AE71" s="929"/>
    </row>
    <row r="72" spans="1:31" x14ac:dyDescent="0.3">
      <c r="A72" s="190" t="s">
        <v>99</v>
      </c>
      <c r="B72" s="450">
        <v>39625</v>
      </c>
      <c r="C72" s="451">
        <v>0</v>
      </c>
      <c r="D72" s="452">
        <f t="shared" si="32"/>
        <v>-39625</v>
      </c>
      <c r="E72" s="220">
        <f t="shared" si="33"/>
        <v>-1</v>
      </c>
      <c r="F72" s="191"/>
      <c r="G72" s="680">
        <v>39625</v>
      </c>
      <c r="H72" s="681">
        <v>1276.9000000000001</v>
      </c>
      <c r="I72" s="451">
        <f t="shared" si="34"/>
        <v>-38348.1</v>
      </c>
      <c r="J72" s="221">
        <f t="shared" si="35"/>
        <v>-0.96777539432176651</v>
      </c>
      <c r="K72" s="191"/>
      <c r="L72" s="450">
        <v>39625</v>
      </c>
      <c r="M72" s="451">
        <v>6000</v>
      </c>
      <c r="N72" s="451">
        <f t="shared" si="36"/>
        <v>-33625</v>
      </c>
      <c r="O72" s="222">
        <f t="shared" si="37"/>
        <v>-0.8485804416403786</v>
      </c>
      <c r="P72" s="191"/>
      <c r="Q72" s="463">
        <v>39625</v>
      </c>
      <c r="R72" s="464">
        <v>12765</v>
      </c>
      <c r="S72" s="451">
        <f t="shared" si="38"/>
        <v>-26860</v>
      </c>
      <c r="T72" s="223">
        <f t="shared" si="39"/>
        <v>-0.67785488958990536</v>
      </c>
      <c r="U72" s="191"/>
      <c r="V72" s="450">
        <f t="shared" si="45"/>
        <v>158500</v>
      </c>
      <c r="W72" s="451">
        <f t="shared" si="40"/>
        <v>20041.900000000001</v>
      </c>
      <c r="X72" s="451">
        <f t="shared" si="41"/>
        <v>-138458.1</v>
      </c>
      <c r="Y72" s="222">
        <f t="shared" si="42"/>
        <v>-0.87355268138801268</v>
      </c>
      <c r="Z72" s="188"/>
      <c r="AA72" s="450">
        <v>0</v>
      </c>
      <c r="AB72" s="452">
        <f t="shared" si="43"/>
        <v>-20041.900000000001</v>
      </c>
      <c r="AC72" s="920" t="str">
        <f t="shared" si="44"/>
        <v>-</v>
      </c>
      <c r="AD72" s="935"/>
      <c r="AE72" s="929"/>
    </row>
    <row r="73" spans="1:31" x14ac:dyDescent="0.3">
      <c r="A73" s="190" t="s">
        <v>100</v>
      </c>
      <c r="B73" s="450">
        <v>0</v>
      </c>
      <c r="C73" s="451">
        <v>2256.31</v>
      </c>
      <c r="D73" s="452">
        <f t="shared" si="32"/>
        <v>2256.31</v>
      </c>
      <c r="E73" s="220" t="str">
        <f t="shared" si="33"/>
        <v>-</v>
      </c>
      <c r="F73" s="256"/>
      <c r="G73" s="463">
        <v>0</v>
      </c>
      <c r="H73" s="464">
        <v>1857.46</v>
      </c>
      <c r="I73" s="451">
        <f t="shared" si="34"/>
        <v>1857.46</v>
      </c>
      <c r="J73" s="221" t="str">
        <f t="shared" si="35"/>
        <v>-</v>
      </c>
      <c r="K73" s="256"/>
      <c r="L73" s="450">
        <v>0</v>
      </c>
      <c r="M73" s="451">
        <v>139.72999999999999</v>
      </c>
      <c r="N73" s="451">
        <f>M73-L73</f>
        <v>139.72999999999999</v>
      </c>
      <c r="O73" s="222" t="str">
        <f t="shared" si="37"/>
        <v>-</v>
      </c>
      <c r="P73" s="256"/>
      <c r="Q73" s="463">
        <v>0</v>
      </c>
      <c r="R73" s="464">
        <v>2232.7399999999998</v>
      </c>
      <c r="S73" s="451">
        <f t="shared" si="38"/>
        <v>2232.7399999999998</v>
      </c>
      <c r="T73" s="223"/>
      <c r="U73" s="256"/>
      <c r="V73" s="450">
        <f t="shared" si="45"/>
        <v>0</v>
      </c>
      <c r="W73" s="451">
        <f t="shared" si="40"/>
        <v>6486.24</v>
      </c>
      <c r="X73" s="451">
        <f t="shared" si="41"/>
        <v>6486.24</v>
      </c>
      <c r="Y73" s="222" t="str">
        <f t="shared" si="42"/>
        <v>-</v>
      </c>
      <c r="Z73" s="257"/>
      <c r="AA73" s="450">
        <v>40000</v>
      </c>
      <c r="AB73" s="452">
        <f t="shared" si="43"/>
        <v>33513.760000000002</v>
      </c>
      <c r="AC73" s="920">
        <f t="shared" si="44"/>
        <v>0.83784400000000003</v>
      </c>
      <c r="AD73" s="937"/>
      <c r="AE73" s="928"/>
    </row>
    <row r="74" spans="1:31" x14ac:dyDescent="0.3">
      <c r="A74" s="275" t="s">
        <v>101</v>
      </c>
      <c r="B74" s="450">
        <v>9999.99</v>
      </c>
      <c r="C74" s="451">
        <v>10774.39</v>
      </c>
      <c r="D74" s="452">
        <f t="shared" si="32"/>
        <v>774.39999999999964</v>
      </c>
      <c r="E74" s="220">
        <f t="shared" si="33"/>
        <v>7.7440077440077401E-2</v>
      </c>
      <c r="F74" s="191"/>
      <c r="G74" s="450">
        <v>9999.99</v>
      </c>
      <c r="H74" s="464">
        <v>11466.43</v>
      </c>
      <c r="I74" s="451">
        <f t="shared" si="34"/>
        <v>1466.4400000000005</v>
      </c>
      <c r="J74" s="221">
        <f t="shared" si="35"/>
        <v>0.14664414664414671</v>
      </c>
      <c r="K74" s="191"/>
      <c r="L74" s="450">
        <v>9999.99</v>
      </c>
      <c r="M74" s="451">
        <v>9263.2900000000009</v>
      </c>
      <c r="N74" s="451">
        <f t="shared" si="36"/>
        <v>-736.69999999999891</v>
      </c>
      <c r="O74" s="222">
        <f>IF(ISERROR(N74/L74),"-",N74/L74)</f>
        <v>-7.3670073670073569E-2</v>
      </c>
      <c r="P74" s="191"/>
      <c r="Q74" s="463">
        <v>9999.99</v>
      </c>
      <c r="R74" s="464">
        <v>15149.08</v>
      </c>
      <c r="S74" s="451">
        <f t="shared" si="38"/>
        <v>5149.09</v>
      </c>
      <c r="T74" s="223">
        <f>IF(ISERROR(S74/Q74),"-",S74/Q74)</f>
        <v>0.51490951490951498</v>
      </c>
      <c r="U74" s="191"/>
      <c r="V74" s="450">
        <f t="shared" si="45"/>
        <v>39999.96</v>
      </c>
      <c r="W74" s="451">
        <f t="shared" si="40"/>
        <v>46653.19</v>
      </c>
      <c r="X74" s="451">
        <f t="shared" si="41"/>
        <v>6653.2300000000032</v>
      </c>
      <c r="Y74" s="222">
        <f t="shared" si="42"/>
        <v>0.1663309163309164</v>
      </c>
      <c r="Z74" s="188"/>
      <c r="AA74" s="450">
        <v>0</v>
      </c>
      <c r="AB74" s="452">
        <f t="shared" si="43"/>
        <v>-46653.19</v>
      </c>
      <c r="AC74" s="920" t="str">
        <f t="shared" si="44"/>
        <v>-</v>
      </c>
      <c r="AD74" s="935"/>
      <c r="AE74" s="928"/>
    </row>
    <row r="75" spans="1:31" x14ac:dyDescent="0.3">
      <c r="A75" s="276" t="s">
        <v>120</v>
      </c>
      <c r="B75" s="450">
        <v>0</v>
      </c>
      <c r="C75" s="451">
        <v>0</v>
      </c>
      <c r="D75" s="452">
        <f t="shared" si="32"/>
        <v>0</v>
      </c>
      <c r="E75" s="220" t="str">
        <f t="shared" si="33"/>
        <v>-</v>
      </c>
      <c r="F75" s="191"/>
      <c r="G75" s="463">
        <v>0</v>
      </c>
      <c r="H75" s="464">
        <v>0</v>
      </c>
      <c r="I75" s="451">
        <f t="shared" si="34"/>
        <v>0</v>
      </c>
      <c r="J75" s="221" t="str">
        <f t="shared" si="35"/>
        <v>-</v>
      </c>
      <c r="K75" s="191"/>
      <c r="L75" s="450">
        <v>0</v>
      </c>
      <c r="M75" s="451">
        <v>0</v>
      </c>
      <c r="N75" s="451">
        <f t="shared" si="36"/>
        <v>0</v>
      </c>
      <c r="O75" s="222" t="str">
        <f>IF(ISERROR(N75/L75),"-",N75/L75)</f>
        <v>-</v>
      </c>
      <c r="P75" s="191"/>
      <c r="Q75" s="463">
        <v>0</v>
      </c>
      <c r="R75" s="464">
        <v>0</v>
      </c>
      <c r="S75" s="451">
        <f t="shared" si="38"/>
        <v>0</v>
      </c>
      <c r="T75" s="223" t="str">
        <f>IF(ISERROR(S75/Q75),"-",S75/Q75)</f>
        <v>-</v>
      </c>
      <c r="U75" s="191"/>
      <c r="V75" s="450">
        <f t="shared" si="45"/>
        <v>0</v>
      </c>
      <c r="W75" s="451">
        <f t="shared" si="40"/>
        <v>0</v>
      </c>
      <c r="X75" s="451">
        <f t="shared" si="41"/>
        <v>0</v>
      </c>
      <c r="Y75" s="222" t="str">
        <f t="shared" si="42"/>
        <v>-</v>
      </c>
      <c r="Z75" s="188"/>
      <c r="AA75" s="450">
        <v>0</v>
      </c>
      <c r="AB75" s="452">
        <f t="shared" si="43"/>
        <v>0</v>
      </c>
      <c r="AC75" s="920" t="str">
        <f t="shared" si="44"/>
        <v>-</v>
      </c>
      <c r="AD75" s="935"/>
      <c r="AE75" s="928"/>
    </row>
    <row r="76" spans="1:31" x14ac:dyDescent="0.3">
      <c r="A76" s="199" t="s">
        <v>102</v>
      </c>
      <c r="B76" s="469">
        <f>SUM(B43:B75)</f>
        <v>1814746.3699999999</v>
      </c>
      <c r="C76" s="470">
        <f>SUM(C43:C75)</f>
        <v>1735373.5099999998</v>
      </c>
      <c r="D76" s="470">
        <f>SUM(D43:D75)</f>
        <v>-79372.859999999957</v>
      </c>
      <c r="E76" s="237">
        <f t="shared" si="33"/>
        <v>-4.3737715259901562E-2</v>
      </c>
      <c r="F76" s="203"/>
      <c r="G76" s="469">
        <f>SUM(G43:G75)</f>
        <v>1814746.3699999999</v>
      </c>
      <c r="H76" s="470">
        <f>SUM(H43:H75)</f>
        <v>1556625.2299999997</v>
      </c>
      <c r="I76" s="470">
        <f>SUM(I43:I75)</f>
        <v>-258121.14000000007</v>
      </c>
      <c r="J76" s="237">
        <f>IF(ISERROR(I76/G76),"-",I76/G76)</f>
        <v>-0.14223538025316457</v>
      </c>
      <c r="K76" s="203"/>
      <c r="L76" s="469">
        <f>SUM(L43:L75)</f>
        <v>1814746.3699999999</v>
      </c>
      <c r="M76" s="470">
        <f>SUM(M43:M75)</f>
        <v>2431727.4999999995</v>
      </c>
      <c r="N76" s="470">
        <f>SUM(N43:N75)</f>
        <v>616981.12999999989</v>
      </c>
      <c r="O76" s="237">
        <f>IF(ISERROR(N76/L76),"-",N76/L76)</f>
        <v>0.33998201632991826</v>
      </c>
      <c r="P76" s="203"/>
      <c r="Q76" s="469">
        <f>SUM(Q43:Q75)</f>
        <v>1814746.3699999999</v>
      </c>
      <c r="R76" s="470">
        <f>SUM(R43:R75)</f>
        <v>2430604.98</v>
      </c>
      <c r="S76" s="470">
        <f>SUM(S43:S75)</f>
        <v>615858.60999999987</v>
      </c>
      <c r="T76" s="237">
        <f>IF(ISERROR(S76/Q76),"-",S76/Q76)</f>
        <v>0.33936346157286978</v>
      </c>
      <c r="U76" s="203"/>
      <c r="V76" s="469">
        <f>SUM(V43:V75)</f>
        <v>7258985.4799999995</v>
      </c>
      <c r="W76" s="470">
        <f>SUM(W43:W75)</f>
        <v>8154331.2199999988</v>
      </c>
      <c r="X76" s="470">
        <f>SUM(X43:X75)</f>
        <v>895345.73999999987</v>
      </c>
      <c r="Y76" s="237">
        <f t="shared" si="42"/>
        <v>0.12334309559743051</v>
      </c>
      <c r="Z76" s="203"/>
      <c r="AA76" s="469">
        <f>SUM(AA43:AA75)</f>
        <v>7406608</v>
      </c>
      <c r="AB76" s="470">
        <f>SUM(AB43:AB75)</f>
        <v>-747723.22</v>
      </c>
      <c r="AC76" s="237">
        <f t="shared" si="44"/>
        <v>-0.10095352960491497</v>
      </c>
      <c r="AD76" s="936"/>
      <c r="AE76" s="930"/>
    </row>
    <row r="77" spans="1:31" x14ac:dyDescent="0.3">
      <c r="A77" s="277"/>
      <c r="B77" s="486"/>
      <c r="C77" s="487"/>
      <c r="D77" s="487"/>
      <c r="E77" s="280"/>
      <c r="F77" s="175"/>
      <c r="G77" s="488"/>
      <c r="H77" s="489"/>
      <c r="I77" s="489"/>
      <c r="J77" s="283"/>
      <c r="K77" s="175"/>
      <c r="L77" s="486"/>
      <c r="M77" s="487"/>
      <c r="N77" s="487"/>
      <c r="O77" s="284"/>
      <c r="P77" s="175"/>
      <c r="Q77" s="488"/>
      <c r="R77" s="489"/>
      <c r="S77" s="489"/>
      <c r="T77" s="285"/>
      <c r="U77" s="175"/>
      <c r="V77" s="490"/>
      <c r="W77" s="491"/>
      <c r="X77" s="487"/>
      <c r="Y77" s="284"/>
      <c r="Z77" s="175"/>
      <c r="AA77" s="490"/>
      <c r="AB77" s="487"/>
      <c r="AC77" s="923"/>
      <c r="AD77" s="933"/>
      <c r="AE77" s="928"/>
    </row>
    <row r="78" spans="1:31" ht="19.5" thickBot="1" x14ac:dyDescent="0.35">
      <c r="A78" s="199" t="s">
        <v>103</v>
      </c>
      <c r="B78" s="469">
        <f>B41+B76</f>
        <v>2316440.62</v>
      </c>
      <c r="C78" s="470">
        <f>C41+C76</f>
        <v>2069175.9399999997</v>
      </c>
      <c r="D78" s="470">
        <f>D41+D76+D77</f>
        <v>-247264.67999999996</v>
      </c>
      <c r="E78" s="237">
        <f>IF(ISERROR(D78/B78),"-",D78/B78)</f>
        <v>-0.10674337078409545</v>
      </c>
      <c r="F78" s="256"/>
      <c r="G78" s="469">
        <f>G41+G76+G77</f>
        <v>2316440.62</v>
      </c>
      <c r="H78" s="470">
        <f>H41+H76+H77</f>
        <v>1863375.6899999997</v>
      </c>
      <c r="I78" s="900">
        <f>I41+I76+I77</f>
        <v>-453064.93000000005</v>
      </c>
      <c r="J78" s="237">
        <f>IF(ISERROR(I78/G78),"-",I78/G78)</f>
        <v>-0.19558667987785502</v>
      </c>
      <c r="K78" s="256"/>
      <c r="L78" s="469">
        <f>L41+L76+L77</f>
        <v>2316440.62</v>
      </c>
      <c r="M78" s="470">
        <f>M41+M76+M77</f>
        <v>2738257.7899999996</v>
      </c>
      <c r="N78" s="470">
        <f>N41+N76+N77</f>
        <v>421817.16999999993</v>
      </c>
      <c r="O78" s="237">
        <f>IF(ISERROR(N78/L78),"-",N78/L78)</f>
        <v>0.18209712191974942</v>
      </c>
      <c r="P78" s="256"/>
      <c r="Q78" s="469">
        <f>Q41+Q76+Q77</f>
        <v>2316440.62</v>
      </c>
      <c r="R78" s="900">
        <f>R41+R76+R77</f>
        <v>2896298.76</v>
      </c>
      <c r="S78" s="470">
        <f>S41+S76+S77</f>
        <v>579858.1399999999</v>
      </c>
      <c r="T78" s="237">
        <f>IF(ISERROR(S78/Q78),"-",S78/Q78)</f>
        <v>0.25032290272996505</v>
      </c>
      <c r="U78" s="256"/>
      <c r="V78" s="469">
        <f>V41+V76+V77</f>
        <v>9265762.4800000004</v>
      </c>
      <c r="W78" s="470">
        <f>W41+W76+W77</f>
        <v>9567108.1799999978</v>
      </c>
      <c r="X78" s="470">
        <f>X41+X76+X77</f>
        <v>301345.69999999984</v>
      </c>
      <c r="Y78" s="237">
        <f>IF(ISERROR(X78/V78),"-",X78/V78)</f>
        <v>3.2522493496940988E-2</v>
      </c>
      <c r="Z78" s="256"/>
      <c r="AA78" s="469">
        <f>AA41+AA76+AA77</f>
        <v>9332835</v>
      </c>
      <c r="AB78" s="470">
        <f>AB41+AB76+AB77</f>
        <v>-234273.17999999993</v>
      </c>
      <c r="AC78" s="237">
        <f>IF(ISERROR(AB78/AA78),"-",AB78/AA78)</f>
        <v>-2.5102038126678543E-2</v>
      </c>
      <c r="AD78" s="937"/>
      <c r="AE78" s="930"/>
    </row>
    <row r="79" spans="1:31" ht="19.5" thickBot="1" x14ac:dyDescent="0.35">
      <c r="A79" s="288" t="s">
        <v>170</v>
      </c>
      <c r="B79" s="486">
        <f>B25-B78</f>
        <v>-21639.370000000112</v>
      </c>
      <c r="C79" s="486">
        <f>C25-C78</f>
        <v>281330.47000000044</v>
      </c>
      <c r="D79" s="486">
        <f>D25-D78</f>
        <v>302969.83999999997</v>
      </c>
      <c r="E79" s="289"/>
      <c r="F79" s="290">
        <f>F25-F78</f>
        <v>0</v>
      </c>
      <c r="G79" s="1362">
        <f>G25-G78</f>
        <v>-21639.370000000112</v>
      </c>
      <c r="H79" s="1361">
        <f>H25-H78</f>
        <v>438898.73000000021</v>
      </c>
      <c r="I79" s="901">
        <f>I25-I78</f>
        <v>460538.10000000003</v>
      </c>
      <c r="J79" s="899"/>
      <c r="K79" s="290">
        <f>K25-K78</f>
        <v>0</v>
      </c>
      <c r="L79" s="486">
        <f>L25-L78</f>
        <v>-21639.370000000112</v>
      </c>
      <c r="M79" s="486">
        <f>M25-M78</f>
        <v>-473831.4299999997</v>
      </c>
      <c r="N79" s="486">
        <f>N25-N78</f>
        <v>-452192.05999999994</v>
      </c>
      <c r="O79" s="290"/>
      <c r="P79" s="290">
        <f>P25-P78</f>
        <v>0</v>
      </c>
      <c r="Q79" s="897">
        <f>Q25-Q78</f>
        <v>-21639.370000000112</v>
      </c>
      <c r="R79" s="901">
        <f>R25-R78</f>
        <v>-562090.2799999998</v>
      </c>
      <c r="S79" s="901">
        <f>S25-S78</f>
        <v>-540450.90999999992</v>
      </c>
      <c r="T79" s="902"/>
      <c r="U79" s="290">
        <f>U25-U78</f>
        <v>0</v>
      </c>
      <c r="V79" s="486">
        <f>V25-V78</f>
        <v>-86557.480000000447</v>
      </c>
      <c r="W79" s="486">
        <f>W25-W78</f>
        <v>-315692.50999999791</v>
      </c>
      <c r="X79" s="486">
        <f>X25-X78</f>
        <v>-229135.03000000014</v>
      </c>
      <c r="Y79" s="290"/>
      <c r="Z79" s="290">
        <f>Z25-Z78</f>
        <v>0</v>
      </c>
      <c r="AA79" s="486">
        <f>AA25-AA78</f>
        <v>-153630</v>
      </c>
      <c r="AB79" s="486">
        <f>AB25-AB78</f>
        <v>162062.51000000024</v>
      </c>
      <c r="AC79" s="864"/>
      <c r="AD79" s="933"/>
      <c r="AE79" s="928"/>
    </row>
    <row r="80" spans="1:31" ht="33" customHeight="1" thickBot="1" x14ac:dyDescent="0.35">
      <c r="A80" s="291" t="s">
        <v>171</v>
      </c>
      <c r="B80" s="486"/>
      <c r="C80" s="487"/>
      <c r="D80" s="487">
        <f>C80-B80</f>
        <v>0</v>
      </c>
      <c r="E80" s="280"/>
      <c r="F80" s="175"/>
      <c r="G80" s="488"/>
      <c r="H80" s="898"/>
      <c r="I80" s="901">
        <f>H80-G80</f>
        <v>0</v>
      </c>
      <c r="J80" s="907"/>
      <c r="K80" s="175"/>
      <c r="L80" s="486"/>
      <c r="M80" s="487"/>
      <c r="N80" s="487">
        <f>M80-L80</f>
        <v>0</v>
      </c>
      <c r="O80" s="517"/>
      <c r="P80" s="175"/>
      <c r="Q80" s="488"/>
      <c r="R80" s="484"/>
      <c r="S80" s="466">
        <f>R80-Q80</f>
        <v>0</v>
      </c>
      <c r="T80" s="540"/>
      <c r="U80" s="175"/>
      <c r="V80" s="490"/>
      <c r="W80" s="460"/>
      <c r="X80" s="474"/>
      <c r="Y80" s="517"/>
      <c r="Z80" s="175"/>
      <c r="AA80" s="490"/>
      <c r="AB80" s="487"/>
      <c r="AC80" s="924"/>
      <c r="AD80" s="933"/>
      <c r="AE80" s="928"/>
    </row>
    <row r="81" spans="1:31" ht="19.5" thickBot="1" x14ac:dyDescent="0.35">
      <c r="A81" s="293" t="s">
        <v>172</v>
      </c>
      <c r="B81" s="486">
        <f>B79-B80</f>
        <v>-21639.370000000112</v>
      </c>
      <c r="C81" s="486">
        <f t="shared" ref="C81:AA81" si="46">C79-C80</f>
        <v>281330.47000000044</v>
      </c>
      <c r="D81" s="486">
        <f t="shared" si="46"/>
        <v>302969.83999999997</v>
      </c>
      <c r="E81" s="220"/>
      <c r="F81" s="290">
        <f t="shared" si="46"/>
        <v>0</v>
      </c>
      <c r="G81" s="1362">
        <f t="shared" si="46"/>
        <v>-21639.370000000112</v>
      </c>
      <c r="H81" s="1361">
        <f t="shared" si="46"/>
        <v>438898.73000000021</v>
      </c>
      <c r="I81" s="901">
        <f t="shared" si="46"/>
        <v>460538.10000000003</v>
      </c>
      <c r="J81" s="908"/>
      <c r="K81" s="290">
        <f>K27-K80</f>
        <v>0</v>
      </c>
      <c r="L81" s="486">
        <f t="shared" si="46"/>
        <v>-21639.370000000112</v>
      </c>
      <c r="M81" s="486">
        <f t="shared" si="46"/>
        <v>-473831.4299999997</v>
      </c>
      <c r="N81" s="897">
        <f t="shared" si="46"/>
        <v>-452192.05999999994</v>
      </c>
      <c r="O81" s="903"/>
      <c r="P81" s="486">
        <f>P27-P80</f>
        <v>0</v>
      </c>
      <c r="Q81" s="897">
        <f t="shared" si="46"/>
        <v>-21639.370000000112</v>
      </c>
      <c r="R81" s="901">
        <f t="shared" si="46"/>
        <v>-562090.2799999998</v>
      </c>
      <c r="S81" s="897">
        <f>S79-S80</f>
        <v>-540450.90999999992</v>
      </c>
      <c r="T81" s="905"/>
      <c r="U81" s="290"/>
      <c r="V81" s="897">
        <f>V79-V80</f>
        <v>-86557.480000000447</v>
      </c>
      <c r="W81" s="901">
        <f t="shared" si="46"/>
        <v>-315692.50999999791</v>
      </c>
      <c r="X81" s="901">
        <f t="shared" si="46"/>
        <v>-229135.03000000014</v>
      </c>
      <c r="Y81" s="903"/>
      <c r="Z81" s="290">
        <f>Z27-Z80</f>
        <v>0</v>
      </c>
      <c r="AA81" s="486">
        <f t="shared" si="46"/>
        <v>-153630</v>
      </c>
      <c r="AB81" s="897">
        <f>AB79-AB80</f>
        <v>162062.51000000024</v>
      </c>
      <c r="AC81" s="904"/>
      <c r="AD81" s="937"/>
      <c r="AE81" s="928"/>
    </row>
    <row r="82" spans="1:31" ht="25.5" customHeight="1" x14ac:dyDescent="0.3">
      <c r="A82" s="172" t="s">
        <v>104</v>
      </c>
      <c r="B82" s="450"/>
      <c r="C82" s="451"/>
      <c r="D82" s="684">
        <f>B82-C82</f>
        <v>0</v>
      </c>
      <c r="E82" s="1364" t="str">
        <f>IF(ISERROR(D82/B82),"-",D82/B82)</f>
        <v>-</v>
      </c>
      <c r="F82" s="256"/>
      <c r="G82" s="463"/>
      <c r="H82" s="464"/>
      <c r="I82" s="464">
        <f>G82-H82</f>
        <v>0</v>
      </c>
      <c r="J82" s="221" t="str">
        <f>IF(ISERROR(I82/G82),"-",I82/G82)</f>
        <v>-</v>
      </c>
      <c r="K82" s="256"/>
      <c r="L82" s="450"/>
      <c r="M82" s="451"/>
      <c r="N82" s="451">
        <f>L82-M82</f>
        <v>0</v>
      </c>
      <c r="O82" s="294" t="str">
        <f>IF(ISERROR(N82/L82),"-",N82/L82)</f>
        <v>-</v>
      </c>
      <c r="P82" s="256"/>
      <c r="Q82" s="463"/>
      <c r="R82" s="464"/>
      <c r="S82" s="464">
        <f>Q82-R82</f>
        <v>0</v>
      </c>
      <c r="T82" s="295" t="str">
        <f>IF(ISERROR(S82/Q82),"-",S82/Q82)</f>
        <v>-</v>
      </c>
      <c r="U82" s="256"/>
      <c r="V82" s="450">
        <f>B82+G82+L82+Q82</f>
        <v>0</v>
      </c>
      <c r="W82" s="451">
        <f>C82+H82+M82+R82</f>
        <v>0</v>
      </c>
      <c r="X82" s="451">
        <f>V82-W82</f>
        <v>0</v>
      </c>
      <c r="Y82" s="294" t="str">
        <f>IF(ISERROR(X82/V82),"-",X82/V82)</f>
        <v>-</v>
      </c>
      <c r="Z82" s="256"/>
      <c r="AA82" s="450">
        <f>G82+L82+Q82+V82</f>
        <v>0</v>
      </c>
      <c r="AB82" s="451">
        <f>AA82-W82</f>
        <v>0</v>
      </c>
      <c r="AC82" s="925" t="str">
        <f>IF(ISERROR(AB82/AA82),"-",AB82/AA82)</f>
        <v>-</v>
      </c>
      <c r="AD82" s="937"/>
      <c r="AE82" s="928"/>
    </row>
    <row r="83" spans="1:31" ht="29.25" customHeight="1" thickBot="1" x14ac:dyDescent="0.35">
      <c r="A83" s="296" t="s">
        <v>105</v>
      </c>
      <c r="B83" s="492">
        <f>B81-B82</f>
        <v>-21639.370000000112</v>
      </c>
      <c r="C83" s="492">
        <f>C81-C82</f>
        <v>281330.47000000044</v>
      </c>
      <c r="D83" s="493">
        <f>C83-B83</f>
        <v>302969.84000000055</v>
      </c>
      <c r="E83" s="895">
        <f>IF(ISERROR(D83/B83),"-",D83/B83)</f>
        <v>-14.000862317156136</v>
      </c>
      <c r="F83" s="300"/>
      <c r="G83" s="1363">
        <f>G81-G82</f>
        <v>-21639.370000000112</v>
      </c>
      <c r="H83" s="945">
        <f>H81-H82</f>
        <v>438898.73000000021</v>
      </c>
      <c r="I83" s="493">
        <f>H83-G83</f>
        <v>460538.10000000033</v>
      </c>
      <c r="J83" s="299">
        <f>IF(ISERROR(I83/G83),"-",I83/G83)</f>
        <v>-21.282417186821888</v>
      </c>
      <c r="K83" s="300"/>
      <c r="L83" s="492">
        <f>L81-L82</f>
        <v>-21639.370000000112</v>
      </c>
      <c r="M83" s="492">
        <f>M81-M82</f>
        <v>-473831.4299999997</v>
      </c>
      <c r="N83" s="492">
        <f>N81-N82</f>
        <v>-452192.05999999994</v>
      </c>
      <c r="O83" s="299">
        <f>IF(ISERROR(N83/L83),"-",N83/L83)</f>
        <v>20.896729433435336</v>
      </c>
      <c r="P83" s="300"/>
      <c r="Q83" s="492">
        <f>Q81-Q82</f>
        <v>-21639.370000000112</v>
      </c>
      <c r="R83" s="492">
        <f>R81-R82</f>
        <v>-562090.2799999998</v>
      </c>
      <c r="S83" s="492">
        <f>S81-S82</f>
        <v>-540450.90999999992</v>
      </c>
      <c r="T83" s="299">
        <f>IF(ISERROR(S83/Q83),"-",S83/Q83)</f>
        <v>24.975353256587283</v>
      </c>
      <c r="U83" s="300"/>
      <c r="V83" s="494">
        <f>V81-V82</f>
        <v>-86557.480000000447</v>
      </c>
      <c r="W83" s="494">
        <f>W81-W82</f>
        <v>-315692.50999999791</v>
      </c>
      <c r="X83" s="492">
        <f>X81-X82</f>
        <v>-229135.03000000014</v>
      </c>
      <c r="Y83" s="303">
        <f>IF(ISERROR(X83/V83),"-",X83/V83)</f>
        <v>2.6472007965111617</v>
      </c>
      <c r="Z83" s="300"/>
      <c r="AA83" s="494">
        <f>AA81-AA82</f>
        <v>-153630</v>
      </c>
      <c r="AB83" s="494">
        <f>AB81-AB82</f>
        <v>162062.51000000024</v>
      </c>
      <c r="AC83" s="926">
        <f>IF(ISERROR(AB83/AA83),"-",AB83/AA83)</f>
        <v>-1.0548884332487161</v>
      </c>
      <c r="AD83" s="820"/>
      <c r="AE83" s="928"/>
    </row>
  </sheetData>
  <sheetProtection algorithmName="SHA-512" hashValue="8zGqa4l694BrJAW0a9NHIFIZtexYJz2reRBVpA/SmB+0RqHWDv+K+omAAtU3N0jmfZZZ/YXnLrtc/QnMEcc8lw==" saltValue="4a6nJPsN8zjpp5oePHTTqw==" spinCount="100000" sheet="1" objects="1" scenarios="1"/>
  <mergeCells count="19">
    <mergeCell ref="AE9:AE11"/>
    <mergeCell ref="D10:E10"/>
    <mergeCell ref="I10:J10"/>
    <mergeCell ref="N10:O10"/>
    <mergeCell ref="S10:T10"/>
    <mergeCell ref="X10:Y10"/>
    <mergeCell ref="AB10:AC10"/>
    <mergeCell ref="B9:E9"/>
    <mergeCell ref="G9:J9"/>
    <mergeCell ref="L9:O9"/>
    <mergeCell ref="Q9:T9"/>
    <mergeCell ref="V9:Y9"/>
    <mergeCell ref="AA9:AC9"/>
    <mergeCell ref="A7:H7"/>
    <mergeCell ref="A1:H1"/>
    <mergeCell ref="A3:H3"/>
    <mergeCell ref="A4:H4"/>
    <mergeCell ref="A5:H5"/>
    <mergeCell ref="A6:H6"/>
  </mergeCells>
  <conditionalFormatting sqref="E56">
    <cfRule type="cellIs" dxfId="8" priority="1" stopIfTrue="1" operator="equal">
      <formula>""""""</formula>
    </cfRule>
  </conditionalFormatting>
  <pageMargins left="0.7" right="0.7" top="0.75" bottom="0.75" header="0.3" footer="0.3"/>
  <pageSetup paperSize="17" scale="43" fitToHeight="0" orientation="landscape" horizontalDpi="300" verticalDpi="30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pageSetUpPr fitToPage="1"/>
  </sheetPr>
  <dimension ref="A1:I72"/>
  <sheetViews>
    <sheetView topLeftCell="A28" zoomScale="80" zoomScaleNormal="80" workbookViewId="0">
      <selection activeCell="D75" sqref="D75"/>
    </sheetView>
  </sheetViews>
  <sheetFormatPr defaultColWidth="8.85546875" defaultRowHeight="15.75" customHeight="1" x14ac:dyDescent="0.3"/>
  <cols>
    <col min="1" max="1" width="64.42578125" style="49" customWidth="1"/>
    <col min="2" max="2" width="16.42578125" style="414" customWidth="1"/>
    <col min="3" max="3" width="16.85546875" style="414" customWidth="1"/>
    <col min="4" max="4" width="18.140625" style="414" customWidth="1"/>
    <col min="5" max="5" width="17" style="414" customWidth="1"/>
    <col min="6" max="6" width="17.42578125" style="414" customWidth="1"/>
    <col min="7" max="8" width="8.85546875" style="49" customWidth="1"/>
    <col min="9" max="9" width="12.42578125" style="49" bestFit="1" customWidth="1"/>
    <col min="10" max="231" width="8.85546875" style="49" customWidth="1"/>
    <col min="232" max="16384" width="8.85546875" style="49"/>
  </cols>
  <sheetData>
    <row r="1" spans="1:6" ht="18.75" customHeight="1" x14ac:dyDescent="0.3">
      <c r="A1" s="1418" t="s">
        <v>49</v>
      </c>
      <c r="B1" s="1419"/>
      <c r="C1" s="1419"/>
      <c r="D1" s="1419"/>
      <c r="E1" s="1419"/>
      <c r="F1" s="1419"/>
    </row>
    <row r="2" spans="1:6" ht="18.75" customHeight="1" x14ac:dyDescent="0.3">
      <c r="A2" s="50"/>
      <c r="B2" s="357"/>
      <c r="C2" s="357"/>
      <c r="D2" s="357"/>
      <c r="E2" s="357"/>
      <c r="F2" s="357"/>
    </row>
    <row r="3" spans="1:6" s="52" customFormat="1" ht="18.75" customHeight="1" x14ac:dyDescent="0.3">
      <c r="A3" s="1420" t="s">
        <v>177</v>
      </c>
      <c r="B3" s="1421"/>
      <c r="C3" s="1421"/>
      <c r="D3" s="1421"/>
      <c r="E3" s="1421"/>
      <c r="F3" s="1421"/>
    </row>
    <row r="4" spans="1:6" ht="18.75" customHeight="1" x14ac:dyDescent="0.3">
      <c r="A4" s="1422" t="s">
        <v>0</v>
      </c>
      <c r="B4" s="1423"/>
      <c r="C4" s="1423"/>
      <c r="D4" s="1423"/>
      <c r="E4" s="1423"/>
      <c r="F4" s="1423"/>
    </row>
    <row r="5" spans="1:6" ht="18.75" customHeight="1" x14ac:dyDescent="0.3">
      <c r="A5" s="1422" t="s">
        <v>1</v>
      </c>
      <c r="B5" s="1424"/>
      <c r="C5" s="1424"/>
      <c r="D5" s="1424"/>
      <c r="E5" s="1424"/>
      <c r="F5" s="1424"/>
    </row>
    <row r="6" spans="1:6" ht="18.75" customHeight="1" x14ac:dyDescent="0.3">
      <c r="A6" s="1420" t="s">
        <v>194</v>
      </c>
      <c r="B6" s="1425"/>
      <c r="C6" s="1425"/>
      <c r="D6" s="1425"/>
      <c r="E6" s="1425"/>
      <c r="F6" s="1425"/>
    </row>
    <row r="7" spans="1:6" ht="18.75" customHeight="1" x14ac:dyDescent="0.3">
      <c r="A7" s="1416" t="s">
        <v>2</v>
      </c>
      <c r="B7" s="1417"/>
      <c r="C7" s="1417"/>
      <c r="D7" s="1417"/>
      <c r="E7" s="1417"/>
      <c r="F7" s="1417"/>
    </row>
    <row r="8" spans="1:6" ht="16.5" customHeight="1" thickBot="1" x14ac:dyDescent="0.35">
      <c r="A8" s="309"/>
      <c r="B8" s="358"/>
      <c r="C8" s="359"/>
      <c r="D8" s="358"/>
      <c r="E8" s="359"/>
      <c r="F8" s="358"/>
    </row>
    <row r="9" spans="1:6" ht="17.45" customHeight="1" x14ac:dyDescent="0.3">
      <c r="A9" s="312"/>
      <c r="B9" s="360" t="s">
        <v>164</v>
      </c>
      <c r="C9" s="361" t="s">
        <v>165</v>
      </c>
      <c r="D9" s="360" t="s">
        <v>166</v>
      </c>
      <c r="E9" s="361" t="s">
        <v>167</v>
      </c>
      <c r="F9" s="360" t="s">
        <v>3</v>
      </c>
    </row>
    <row r="10" spans="1:6" ht="15" customHeight="1" x14ac:dyDescent="0.3">
      <c r="A10" s="314"/>
      <c r="B10" s="59">
        <v>44927</v>
      </c>
      <c r="C10" s="315">
        <v>45016</v>
      </c>
      <c r="D10" s="59">
        <v>45107</v>
      </c>
      <c r="E10" s="315">
        <v>45199</v>
      </c>
      <c r="F10" s="59">
        <v>45291</v>
      </c>
    </row>
    <row r="11" spans="1:6" ht="15" customHeight="1" thickBot="1" x14ac:dyDescent="0.35">
      <c r="A11" s="316"/>
      <c r="B11" s="362" t="s">
        <v>107</v>
      </c>
      <c r="C11" s="363" t="s">
        <v>107</v>
      </c>
      <c r="D11" s="362" t="s">
        <v>107</v>
      </c>
      <c r="E11" s="364" t="s">
        <v>107</v>
      </c>
      <c r="F11" s="621" t="s">
        <v>107</v>
      </c>
    </row>
    <row r="12" spans="1:6" ht="15" customHeight="1" x14ac:dyDescent="0.3">
      <c r="A12" s="319" t="s">
        <v>4</v>
      </c>
      <c r="B12" s="365"/>
      <c r="C12" s="366"/>
      <c r="D12" s="367"/>
      <c r="E12" s="368"/>
      <c r="F12" s="366"/>
    </row>
    <row r="13" spans="1:6" ht="15" customHeight="1" x14ac:dyDescent="0.3">
      <c r="A13" s="322" t="s">
        <v>5</v>
      </c>
      <c r="B13" s="370"/>
      <c r="C13" s="371"/>
      <c r="D13" s="372"/>
      <c r="E13" s="373"/>
      <c r="F13" s="371"/>
    </row>
    <row r="14" spans="1:6" ht="15" customHeight="1" x14ac:dyDescent="0.3">
      <c r="A14" s="324" t="s">
        <v>6</v>
      </c>
      <c r="B14" s="371">
        <v>99087.87</v>
      </c>
      <c r="C14" s="371">
        <v>5849486.29</v>
      </c>
      <c r="D14" s="371">
        <v>6201336.6699999999</v>
      </c>
      <c r="E14" s="371">
        <v>2852728.96</v>
      </c>
      <c r="F14" s="371">
        <v>1280095.81</v>
      </c>
    </row>
    <row r="15" spans="1:6" ht="15" customHeight="1" x14ac:dyDescent="0.3">
      <c r="A15" s="325" t="s">
        <v>7</v>
      </c>
      <c r="B15" s="371">
        <v>5831513.4000000004</v>
      </c>
      <c r="C15" s="371">
        <v>4629977.9800000004</v>
      </c>
      <c r="D15" s="371">
        <v>3968275.0100000002</v>
      </c>
      <c r="E15" s="371">
        <v>4212855.4800000004</v>
      </c>
      <c r="F15" s="371">
        <v>5590238.1799999997</v>
      </c>
    </row>
    <row r="16" spans="1:6" ht="15" customHeight="1" x14ac:dyDescent="0.3">
      <c r="A16" s="325" t="s">
        <v>8</v>
      </c>
      <c r="B16" s="371">
        <v>22945.33</v>
      </c>
      <c r="C16" s="371">
        <v>138423.20000000001</v>
      </c>
      <c r="D16" s="371">
        <v>47251.17</v>
      </c>
      <c r="E16" s="371">
        <v>14817.11</v>
      </c>
      <c r="F16" s="371">
        <v>-3489.08</v>
      </c>
    </row>
    <row r="17" spans="1:6" ht="15" customHeight="1" x14ac:dyDescent="0.3">
      <c r="A17" s="325" t="s">
        <v>9</v>
      </c>
      <c r="B17" s="371">
        <v>0</v>
      </c>
      <c r="C17" s="371">
        <v>0</v>
      </c>
      <c r="D17" s="371">
        <v>0</v>
      </c>
      <c r="E17" s="371">
        <v>0</v>
      </c>
      <c r="F17" s="371">
        <v>0</v>
      </c>
    </row>
    <row r="18" spans="1:6" ht="15" customHeight="1" x14ac:dyDescent="0.3">
      <c r="A18" s="325" t="s">
        <v>10</v>
      </c>
      <c r="B18" s="371">
        <v>139091.4</v>
      </c>
      <c r="C18" s="371">
        <v>0</v>
      </c>
      <c r="D18" s="371">
        <v>255551.64</v>
      </c>
      <c r="E18" s="371">
        <v>23561.65</v>
      </c>
      <c r="F18" s="371">
        <v>551650.82999999996</v>
      </c>
    </row>
    <row r="19" spans="1:6" ht="15" customHeight="1" x14ac:dyDescent="0.3">
      <c r="A19" s="326" t="s">
        <v>11</v>
      </c>
      <c r="B19" s="371">
        <v>27578.78</v>
      </c>
      <c r="C19" s="371">
        <v>34990.14</v>
      </c>
      <c r="D19" s="371">
        <v>12511.4</v>
      </c>
      <c r="E19" s="371">
        <v>7002.5439999999999</v>
      </c>
      <c r="F19" s="371">
        <v>13322.07</v>
      </c>
    </row>
    <row r="20" spans="1:6" ht="15" customHeight="1" x14ac:dyDescent="0.3">
      <c r="A20" s="327" t="s">
        <v>12</v>
      </c>
      <c r="B20" s="376">
        <f>SUM(B14:B19)</f>
        <v>6120216.7800000012</v>
      </c>
      <c r="C20" s="376">
        <f t="shared" ref="C20:F20" si="0">SUM(C14:C19)</f>
        <v>10652877.609999999</v>
      </c>
      <c r="D20" s="376">
        <f t="shared" si="0"/>
        <v>10484925.890000001</v>
      </c>
      <c r="E20" s="376">
        <f t="shared" si="0"/>
        <v>7110965.7440000009</v>
      </c>
      <c r="F20" s="377">
        <f t="shared" si="0"/>
        <v>7431817.8100000005</v>
      </c>
    </row>
    <row r="21" spans="1:6" ht="15" customHeight="1" x14ac:dyDescent="0.3">
      <c r="A21" s="328"/>
      <c r="B21" s="379"/>
      <c r="C21" s="380"/>
      <c r="D21" s="381"/>
      <c r="E21" s="382"/>
      <c r="F21" s="380"/>
    </row>
    <row r="22" spans="1:6" ht="15" customHeight="1" x14ac:dyDescent="0.3">
      <c r="A22" s="329" t="s">
        <v>13</v>
      </c>
      <c r="B22" s="370"/>
      <c r="C22" s="371"/>
      <c r="D22" s="372"/>
      <c r="E22" s="373"/>
      <c r="F22" s="371"/>
    </row>
    <row r="23" spans="1:6" ht="15" customHeight="1" x14ac:dyDescent="0.3">
      <c r="A23" s="325" t="s">
        <v>14</v>
      </c>
      <c r="B23" s="371">
        <v>930399.35</v>
      </c>
      <c r="C23" s="371">
        <v>930399.35</v>
      </c>
      <c r="D23" s="371">
        <v>930399.35</v>
      </c>
      <c r="E23" s="371">
        <v>930399.35</v>
      </c>
      <c r="F23" s="371">
        <v>930399.35</v>
      </c>
    </row>
    <row r="24" spans="1:6" ht="15" customHeight="1" x14ac:dyDescent="0.3">
      <c r="A24" s="325" t="s">
        <v>15</v>
      </c>
      <c r="B24" s="661">
        <v>0</v>
      </c>
      <c r="C24" s="371">
        <v>0</v>
      </c>
      <c r="D24" s="371">
        <v>0</v>
      </c>
      <c r="E24" s="371">
        <v>0</v>
      </c>
      <c r="F24" s="371">
        <v>0</v>
      </c>
    </row>
    <row r="25" spans="1:6" ht="15" customHeight="1" x14ac:dyDescent="0.3">
      <c r="A25" s="325" t="s">
        <v>16</v>
      </c>
      <c r="B25" s="661">
        <v>0</v>
      </c>
      <c r="C25" s="371">
        <v>0</v>
      </c>
      <c r="D25" s="371">
        <v>0</v>
      </c>
      <c r="E25" s="371">
        <v>0</v>
      </c>
      <c r="F25" s="371">
        <v>0</v>
      </c>
    </row>
    <row r="26" spans="1:6" ht="15" customHeight="1" x14ac:dyDescent="0.3">
      <c r="A26" s="325" t="s">
        <v>17</v>
      </c>
      <c r="B26" s="371">
        <v>1636630.81</v>
      </c>
      <c r="C26" s="371">
        <v>1636630.81</v>
      </c>
      <c r="D26" s="371">
        <v>1636630.81</v>
      </c>
      <c r="E26" s="371">
        <v>7013030.8099999996</v>
      </c>
      <c r="F26" s="371">
        <v>7013030.8099999996</v>
      </c>
    </row>
    <row r="27" spans="1:6" ht="15" customHeight="1" x14ac:dyDescent="0.3">
      <c r="A27" s="325" t="s">
        <v>119</v>
      </c>
      <c r="B27" s="371">
        <v>0</v>
      </c>
      <c r="C27" s="371">
        <v>0</v>
      </c>
      <c r="D27" s="371">
        <v>0</v>
      </c>
      <c r="E27" s="371">
        <v>0</v>
      </c>
      <c r="F27" s="371">
        <v>0</v>
      </c>
    </row>
    <row r="28" spans="1:6" ht="15" customHeight="1" x14ac:dyDescent="0.3">
      <c r="A28" s="325" t="s">
        <v>118</v>
      </c>
      <c r="B28" s="371">
        <v>0</v>
      </c>
      <c r="C28" s="371">
        <v>0</v>
      </c>
      <c r="D28" s="371">
        <v>0</v>
      </c>
      <c r="E28" s="371">
        <v>0</v>
      </c>
      <c r="F28" s="371">
        <v>0</v>
      </c>
    </row>
    <row r="29" spans="1:6" ht="15" customHeight="1" x14ac:dyDescent="0.3">
      <c r="A29" s="326" t="s">
        <v>18</v>
      </c>
      <c r="B29" s="371">
        <v>656687.93000000005</v>
      </c>
      <c r="C29" s="371">
        <v>558687.27</v>
      </c>
      <c r="D29" s="371">
        <v>558687.27</v>
      </c>
      <c r="E29" s="371">
        <v>558687.27</v>
      </c>
      <c r="F29" s="371">
        <v>558687.27</v>
      </c>
    </row>
    <row r="30" spans="1:6" ht="15" customHeight="1" x14ac:dyDescent="0.3">
      <c r="A30" s="327" t="s">
        <v>19</v>
      </c>
      <c r="B30" s="376">
        <f>SUM(B23:B29)</f>
        <v>3223718.0900000003</v>
      </c>
      <c r="C30" s="376">
        <f t="shared" ref="C30:F30" si="1">SUM(C23:C29)</f>
        <v>3125717.43</v>
      </c>
      <c r="D30" s="376">
        <f t="shared" si="1"/>
        <v>3125717.43</v>
      </c>
      <c r="E30" s="376">
        <f t="shared" si="1"/>
        <v>8502117.4299999997</v>
      </c>
      <c r="F30" s="377">
        <f t="shared" si="1"/>
        <v>8502117.4299999997</v>
      </c>
    </row>
    <row r="31" spans="1:6" ht="15" customHeight="1" x14ac:dyDescent="0.3">
      <c r="A31" s="328"/>
      <c r="B31" s="379"/>
      <c r="C31" s="380"/>
      <c r="D31" s="381"/>
      <c r="E31" s="382"/>
      <c r="F31" s="380"/>
    </row>
    <row r="32" spans="1:6" ht="15" customHeight="1" x14ac:dyDescent="0.3">
      <c r="A32" s="329" t="s">
        <v>20</v>
      </c>
      <c r="B32" s="384"/>
      <c r="C32" s="385"/>
      <c r="D32" s="386"/>
      <c r="E32" s="387"/>
      <c r="F32" s="385"/>
    </row>
    <row r="33" spans="1:6" ht="15" customHeight="1" x14ac:dyDescent="0.3">
      <c r="A33" s="306" t="s">
        <v>21</v>
      </c>
      <c r="B33" s="385">
        <v>5465432.3700000001</v>
      </c>
      <c r="C33" s="385">
        <v>5455399.6299999999</v>
      </c>
      <c r="D33" s="385">
        <v>5796144.1500000004</v>
      </c>
      <c r="E33" s="385">
        <v>5833646.6799999997</v>
      </c>
      <c r="F33" s="385">
        <v>5874089.2599999998</v>
      </c>
    </row>
    <row r="34" spans="1:6" ht="15" customHeight="1" x14ac:dyDescent="0.3">
      <c r="A34" s="306" t="s">
        <v>22</v>
      </c>
      <c r="B34" s="385">
        <v>642276.46</v>
      </c>
      <c r="C34" s="385">
        <v>387468.6</v>
      </c>
      <c r="D34" s="385">
        <v>406710.71</v>
      </c>
      <c r="E34" s="385">
        <v>406710.71</v>
      </c>
      <c r="F34" s="385">
        <v>417038.76</v>
      </c>
    </row>
    <row r="35" spans="1:6" ht="15" customHeight="1" x14ac:dyDescent="0.3">
      <c r="A35" s="306" t="s">
        <v>23</v>
      </c>
      <c r="B35" s="385">
        <v>677123.77999999991</v>
      </c>
      <c r="C35" s="385">
        <v>746355.19999999995</v>
      </c>
      <c r="D35" s="385">
        <v>749270.74</v>
      </c>
      <c r="E35" s="385">
        <v>784398.68</v>
      </c>
      <c r="F35" s="385">
        <v>823207.69</v>
      </c>
    </row>
    <row r="36" spans="1:6" ht="15" customHeight="1" x14ac:dyDescent="0.3">
      <c r="A36" s="306" t="s">
        <v>24</v>
      </c>
      <c r="B36" s="385">
        <v>273857.38</v>
      </c>
      <c r="C36" s="385">
        <v>330225.76</v>
      </c>
      <c r="D36" s="385">
        <v>164004.48000000001</v>
      </c>
      <c r="E36" s="385">
        <v>205265.29</v>
      </c>
      <c r="F36" s="385">
        <v>220329.52000000002</v>
      </c>
    </row>
    <row r="37" spans="1:6" ht="15" customHeight="1" x14ac:dyDescent="0.3">
      <c r="A37" s="306" t="s">
        <v>25</v>
      </c>
      <c r="B37" s="385">
        <v>625759.55000000005</v>
      </c>
      <c r="C37" s="385">
        <v>687729.55</v>
      </c>
      <c r="D37" s="385">
        <v>687729.55</v>
      </c>
      <c r="E37" s="385">
        <v>687729.55</v>
      </c>
      <c r="F37" s="385">
        <v>743240.88</v>
      </c>
    </row>
    <row r="38" spans="1:6" ht="15" customHeight="1" x14ac:dyDescent="0.3">
      <c r="A38" s="307" t="s">
        <v>26</v>
      </c>
      <c r="B38" s="385">
        <v>1769298.02</v>
      </c>
      <c r="C38" s="385">
        <v>2042161</v>
      </c>
      <c r="D38" s="385">
        <v>2743710.99</v>
      </c>
      <c r="E38" s="385">
        <v>2743710.99</v>
      </c>
      <c r="F38" s="385">
        <v>3083240.04</v>
      </c>
    </row>
    <row r="39" spans="1:6" ht="15" customHeight="1" x14ac:dyDescent="0.3">
      <c r="A39" s="327" t="s">
        <v>27</v>
      </c>
      <c r="B39" s="376">
        <f>SUM(B33:B38)</f>
        <v>9453747.5600000005</v>
      </c>
      <c r="C39" s="376">
        <f t="shared" ref="C39:F39" si="2">SUM(C33:C38)</f>
        <v>9649339.7399999984</v>
      </c>
      <c r="D39" s="376">
        <f t="shared" si="2"/>
        <v>10547570.620000001</v>
      </c>
      <c r="E39" s="376">
        <f t="shared" si="2"/>
        <v>10661461.899999999</v>
      </c>
      <c r="F39" s="377">
        <f t="shared" si="2"/>
        <v>11161146.149999999</v>
      </c>
    </row>
    <row r="40" spans="1:6" ht="15" customHeight="1" x14ac:dyDescent="0.3">
      <c r="A40" s="330"/>
      <c r="B40" s="389"/>
      <c r="C40" s="390"/>
      <c r="D40" s="391"/>
      <c r="E40" s="392"/>
      <c r="F40" s="390"/>
    </row>
    <row r="41" spans="1:6" ht="15" customHeight="1" x14ac:dyDescent="0.3">
      <c r="A41" s="322" t="s">
        <v>28</v>
      </c>
      <c r="B41" s="371">
        <v>133374.78</v>
      </c>
      <c r="C41" s="371">
        <v>133374.78</v>
      </c>
      <c r="D41" s="371">
        <v>164044.48000000001</v>
      </c>
      <c r="E41" s="371">
        <v>164004.48000000001</v>
      </c>
      <c r="F41" s="371">
        <v>164004.49</v>
      </c>
    </row>
    <row r="42" spans="1:6" ht="15" customHeight="1" x14ac:dyDescent="0.3">
      <c r="A42" s="331"/>
      <c r="B42" s="393"/>
      <c r="C42" s="388"/>
      <c r="D42" s="394"/>
      <c r="E42" s="395"/>
      <c r="F42" s="388"/>
    </row>
    <row r="43" spans="1:6" ht="15" customHeight="1" x14ac:dyDescent="0.3">
      <c r="A43" s="327" t="s">
        <v>29</v>
      </c>
      <c r="B43" s="376">
        <f>B39+B30+B20+B41</f>
        <v>18931057.210000001</v>
      </c>
      <c r="C43" s="376">
        <f t="shared" ref="C43:F43" si="3">C39+C30+C20+C41</f>
        <v>23561309.559999999</v>
      </c>
      <c r="D43" s="376">
        <f t="shared" si="3"/>
        <v>24322258.420000002</v>
      </c>
      <c r="E43" s="376">
        <f t="shared" si="3"/>
        <v>26438549.554000001</v>
      </c>
      <c r="F43" s="377">
        <f t="shared" si="3"/>
        <v>27259085.879999999</v>
      </c>
    </row>
    <row r="44" spans="1:6" ht="15" customHeight="1" x14ac:dyDescent="0.3">
      <c r="A44" s="332"/>
      <c r="B44" s="397"/>
      <c r="C44" s="398"/>
      <c r="D44" s="399"/>
      <c r="E44" s="400"/>
      <c r="F44" s="398"/>
    </row>
    <row r="45" spans="1:6" ht="15" customHeight="1" x14ac:dyDescent="0.3">
      <c r="A45" s="322" t="s">
        <v>30</v>
      </c>
      <c r="B45" s="384"/>
      <c r="C45" s="385"/>
      <c r="D45" s="386"/>
      <c r="E45" s="387"/>
      <c r="F45" s="385"/>
    </row>
    <row r="46" spans="1:6" ht="15" customHeight="1" x14ac:dyDescent="0.3">
      <c r="A46" s="333"/>
      <c r="B46" s="384"/>
      <c r="C46" s="385"/>
      <c r="D46" s="386"/>
      <c r="E46" s="387"/>
      <c r="F46" s="385"/>
    </row>
    <row r="47" spans="1:6" ht="15" customHeight="1" x14ac:dyDescent="0.3">
      <c r="A47" s="322" t="s">
        <v>31</v>
      </c>
      <c r="B47" s="370"/>
      <c r="C47" s="371"/>
      <c r="D47" s="372"/>
      <c r="E47" s="373"/>
      <c r="F47" s="371"/>
    </row>
    <row r="48" spans="1:6" ht="15" customHeight="1" x14ac:dyDescent="0.3">
      <c r="A48" s="306" t="s">
        <v>32</v>
      </c>
      <c r="B48" s="401">
        <v>4038430.32</v>
      </c>
      <c r="C48" s="401">
        <v>5079114.9400000004</v>
      </c>
      <c r="D48" s="401">
        <v>6024806.1500000004</v>
      </c>
      <c r="E48" s="401">
        <v>4690524.97</v>
      </c>
      <c r="F48" s="401">
        <v>5264771.99</v>
      </c>
    </row>
    <row r="49" spans="1:9" ht="15" customHeight="1" x14ac:dyDescent="0.3">
      <c r="A49" s="334" t="s">
        <v>50</v>
      </c>
      <c r="B49" s="401">
        <v>130823.9</v>
      </c>
      <c r="C49" s="401">
        <v>98315.28</v>
      </c>
      <c r="D49" s="401">
        <v>83091.75</v>
      </c>
      <c r="E49" s="401">
        <v>82559.289999999994</v>
      </c>
      <c r="F49" s="401">
        <v>10961.52</v>
      </c>
    </row>
    <row r="50" spans="1:9" ht="15" customHeight="1" x14ac:dyDescent="0.3">
      <c r="A50" s="334" t="s">
        <v>168</v>
      </c>
      <c r="B50" s="401">
        <v>40836.5</v>
      </c>
      <c r="C50" s="401">
        <v>58065.13</v>
      </c>
      <c r="D50" s="401">
        <v>13895.54</v>
      </c>
      <c r="E50" s="401">
        <v>40486.61</v>
      </c>
      <c r="F50" s="401">
        <v>25485.29</v>
      </c>
    </row>
    <row r="51" spans="1:9" ht="15" customHeight="1" x14ac:dyDescent="0.3">
      <c r="A51" s="334" t="s">
        <v>109</v>
      </c>
      <c r="B51" s="401">
        <v>26337.13</v>
      </c>
      <c r="C51" s="401">
        <v>99949.23000000001</v>
      </c>
      <c r="D51" s="401">
        <v>28999.77</v>
      </c>
      <c r="E51" s="401">
        <v>28969.83</v>
      </c>
      <c r="F51" s="401">
        <v>28969.83</v>
      </c>
    </row>
    <row r="52" spans="1:9" ht="15" customHeight="1" x14ac:dyDescent="0.3">
      <c r="A52" s="334" t="s">
        <v>33</v>
      </c>
      <c r="B52" s="401">
        <v>792958.81</v>
      </c>
      <c r="C52" s="401">
        <v>51840.490000000005</v>
      </c>
      <c r="D52" s="401">
        <v>40486.61</v>
      </c>
      <c r="E52" s="401">
        <v>12448.62</v>
      </c>
      <c r="F52" s="401">
        <v>32336.82</v>
      </c>
    </row>
    <row r="53" spans="1:9" ht="15" customHeight="1" x14ac:dyDescent="0.3">
      <c r="A53" s="334" t="s">
        <v>34</v>
      </c>
      <c r="B53" s="401">
        <v>0</v>
      </c>
      <c r="C53" s="401">
        <v>0</v>
      </c>
      <c r="D53" s="401">
        <v>0</v>
      </c>
      <c r="E53" s="401">
        <v>0</v>
      </c>
      <c r="F53" s="401">
        <v>0</v>
      </c>
    </row>
    <row r="54" spans="1:9" ht="15" customHeight="1" x14ac:dyDescent="0.3">
      <c r="A54" s="306" t="s">
        <v>35</v>
      </c>
      <c r="B54" s="401">
        <v>0</v>
      </c>
      <c r="C54" s="401">
        <v>485944.77999999997</v>
      </c>
      <c r="D54" s="401">
        <v>0</v>
      </c>
      <c r="E54" s="401">
        <v>0</v>
      </c>
      <c r="F54" s="401">
        <v>0</v>
      </c>
    </row>
    <row r="55" spans="1:9" ht="15" customHeight="1" x14ac:dyDescent="0.3">
      <c r="A55" s="306" t="s">
        <v>36</v>
      </c>
      <c r="B55" s="401">
        <v>0</v>
      </c>
      <c r="C55" s="401">
        <v>0</v>
      </c>
      <c r="D55" s="401">
        <v>0</v>
      </c>
      <c r="E55" s="401">
        <v>0</v>
      </c>
      <c r="F55" s="401">
        <v>0</v>
      </c>
    </row>
    <row r="56" spans="1:9" ht="15" customHeight="1" x14ac:dyDescent="0.3">
      <c r="A56" s="307" t="s">
        <v>37</v>
      </c>
      <c r="B56" s="401">
        <v>0</v>
      </c>
      <c r="C56" s="401">
        <v>0</v>
      </c>
      <c r="D56" s="401">
        <v>0</v>
      </c>
      <c r="E56" s="401">
        <v>0</v>
      </c>
      <c r="F56" s="401">
        <v>0</v>
      </c>
    </row>
    <row r="57" spans="1:9" ht="15" customHeight="1" x14ac:dyDescent="0.3">
      <c r="A57" s="327" t="s">
        <v>38</v>
      </c>
      <c r="B57" s="376">
        <f>SUM(B48:B56)</f>
        <v>5029386.66</v>
      </c>
      <c r="C57" s="376">
        <f t="shared" ref="C57:F57" si="4">SUM(C48:C56)</f>
        <v>5873229.8500000015</v>
      </c>
      <c r="D57" s="376">
        <f t="shared" si="4"/>
        <v>6191279.8200000003</v>
      </c>
      <c r="E57" s="376">
        <f t="shared" si="4"/>
        <v>4854989.32</v>
      </c>
      <c r="F57" s="377">
        <f t="shared" si="4"/>
        <v>5362525.45</v>
      </c>
    </row>
    <row r="58" spans="1:9" ht="15" customHeight="1" x14ac:dyDescent="0.3">
      <c r="A58" s="335"/>
      <c r="B58" s="379"/>
      <c r="C58" s="380"/>
      <c r="D58" s="381"/>
      <c r="E58" s="382"/>
      <c r="F58" s="380"/>
      <c r="I58" s="355"/>
    </row>
    <row r="59" spans="1:9" ht="15" customHeight="1" x14ac:dyDescent="0.3">
      <c r="A59" s="322" t="s">
        <v>39</v>
      </c>
      <c r="B59" s="384"/>
      <c r="C59" s="385"/>
      <c r="D59" s="386"/>
      <c r="E59" s="387"/>
      <c r="F59" s="385"/>
    </row>
    <row r="60" spans="1:9" ht="15" customHeight="1" x14ac:dyDescent="0.3">
      <c r="A60" s="306" t="s">
        <v>117</v>
      </c>
      <c r="B60" s="401">
        <v>1796641.1</v>
      </c>
      <c r="C60" s="401">
        <v>1796641.1</v>
      </c>
      <c r="D60" s="401">
        <v>1796641.1</v>
      </c>
      <c r="E60" s="401">
        <v>1616976.99</v>
      </c>
      <c r="F60" s="401">
        <v>1437312.88</v>
      </c>
    </row>
    <row r="61" spans="1:9" ht="15" customHeight="1" x14ac:dyDescent="0.3">
      <c r="A61" s="82" t="s">
        <v>40</v>
      </c>
      <c r="B61" s="401">
        <v>4249821.78</v>
      </c>
      <c r="C61" s="401">
        <v>3873223.9920000001</v>
      </c>
      <c r="D61" s="401">
        <v>2834617.58</v>
      </c>
      <c r="E61" s="401">
        <v>1425377.32</v>
      </c>
      <c r="F61" s="401">
        <v>366891.68</v>
      </c>
      <c r="I61" s="403"/>
    </row>
    <row r="62" spans="1:9" ht="15" customHeight="1" x14ac:dyDescent="0.3">
      <c r="A62" s="308"/>
      <c r="B62" s="393"/>
      <c r="C62" s="388"/>
      <c r="D62" s="394"/>
      <c r="E62" s="395"/>
      <c r="F62" s="388"/>
    </row>
    <row r="63" spans="1:9" ht="15" customHeight="1" x14ac:dyDescent="0.3">
      <c r="A63" s="327" t="s">
        <v>41</v>
      </c>
      <c r="B63" s="376">
        <f>SUM(B60:B61)</f>
        <v>6046462.8800000008</v>
      </c>
      <c r="C63" s="376">
        <f t="shared" ref="C63:F63" si="5">SUM(C60:C61)</f>
        <v>5669865.0920000002</v>
      </c>
      <c r="D63" s="376">
        <f t="shared" si="5"/>
        <v>4631258.68</v>
      </c>
      <c r="E63" s="376">
        <f t="shared" si="5"/>
        <v>3042354.31</v>
      </c>
      <c r="F63" s="377">
        <f t="shared" si="5"/>
        <v>1804204.5599999998</v>
      </c>
    </row>
    <row r="64" spans="1:9" ht="15" customHeight="1" x14ac:dyDescent="0.3">
      <c r="A64" s="335"/>
      <c r="B64" s="379"/>
      <c r="C64" s="380"/>
      <c r="D64" s="381"/>
      <c r="E64" s="382"/>
      <c r="F64" s="380"/>
    </row>
    <row r="65" spans="1:6" ht="15" customHeight="1" x14ac:dyDescent="0.3">
      <c r="A65" s="322" t="s">
        <v>42</v>
      </c>
      <c r="B65" s="384"/>
      <c r="C65" s="385"/>
      <c r="D65" s="386"/>
      <c r="E65" s="387"/>
      <c r="F65" s="385"/>
    </row>
    <row r="66" spans="1:6" ht="15" customHeight="1" x14ac:dyDescent="0.3">
      <c r="A66" s="306" t="s">
        <v>43</v>
      </c>
      <c r="B66" s="385">
        <v>1636630.81</v>
      </c>
      <c r="C66" s="385">
        <v>1636630.81</v>
      </c>
      <c r="D66" s="385">
        <v>1636630.81</v>
      </c>
      <c r="E66" s="385">
        <v>7013030.8099999996</v>
      </c>
      <c r="F66" s="385">
        <v>7013030.8099999996</v>
      </c>
    </row>
    <row r="67" spans="1:6" ht="15" customHeight="1" x14ac:dyDescent="0.3">
      <c r="A67" s="306" t="s">
        <v>44</v>
      </c>
      <c r="B67" s="385">
        <v>0</v>
      </c>
      <c r="C67" s="385">
        <v>0</v>
      </c>
      <c r="D67" s="385">
        <v>0</v>
      </c>
      <c r="E67" s="385">
        <v>0</v>
      </c>
      <c r="F67" s="385">
        <v>0</v>
      </c>
    </row>
    <row r="68" spans="1:6" ht="15" customHeight="1" x14ac:dyDescent="0.3">
      <c r="A68" s="306" t="s">
        <v>45</v>
      </c>
      <c r="B68" s="385">
        <v>0</v>
      </c>
      <c r="C68" s="385">
        <v>0</v>
      </c>
      <c r="D68" s="385">
        <v>0</v>
      </c>
      <c r="E68" s="385">
        <v>0</v>
      </c>
      <c r="F68" s="385">
        <v>0</v>
      </c>
    </row>
    <row r="69" spans="1:6" ht="15" customHeight="1" x14ac:dyDescent="0.3">
      <c r="A69" s="307" t="s">
        <v>46</v>
      </c>
      <c r="B69" s="385">
        <v>6222193.79</v>
      </c>
      <c r="C69" s="388">
        <v>10381583.810000001</v>
      </c>
      <c r="D69" s="385">
        <v>11863089.110000001</v>
      </c>
      <c r="E69" s="385">
        <v>11528022.110000001</v>
      </c>
      <c r="F69" s="385">
        <v>13079325.15</v>
      </c>
    </row>
    <row r="70" spans="1:6" ht="15" customHeight="1" x14ac:dyDescent="0.3">
      <c r="A70" s="327" t="s">
        <v>47</v>
      </c>
      <c r="B70" s="376">
        <f>SUM(B66:B69)</f>
        <v>7858824.5999999996</v>
      </c>
      <c r="C70" s="376">
        <f t="shared" ref="C70:F70" si="6">SUM(C66:C69)</f>
        <v>12018214.620000001</v>
      </c>
      <c r="D70" s="376">
        <f t="shared" si="6"/>
        <v>13499719.920000002</v>
      </c>
      <c r="E70" s="376">
        <f t="shared" si="6"/>
        <v>18541052.920000002</v>
      </c>
      <c r="F70" s="377">
        <f t="shared" si="6"/>
        <v>20092355.960000001</v>
      </c>
    </row>
    <row r="71" spans="1:6" ht="15.75" customHeight="1" x14ac:dyDescent="0.3">
      <c r="A71" s="336"/>
      <c r="B71" s="406"/>
      <c r="C71" s="407"/>
      <c r="D71" s="408"/>
      <c r="E71" s="409"/>
      <c r="F71" s="407"/>
    </row>
    <row r="72" spans="1:6" ht="16.5" customHeight="1" thickBot="1" x14ac:dyDescent="0.35">
      <c r="A72" s="337" t="s">
        <v>48</v>
      </c>
      <c r="B72" s="410">
        <f>B70+B63+B57</f>
        <v>18934674.140000001</v>
      </c>
      <c r="C72" s="410">
        <f t="shared" ref="C72:F72" si="7">C70+C63+C57</f>
        <v>23561309.562000003</v>
      </c>
      <c r="D72" s="410">
        <f t="shared" si="7"/>
        <v>24322258.420000002</v>
      </c>
      <c r="E72" s="410">
        <f t="shared" si="7"/>
        <v>26438396.550000001</v>
      </c>
      <c r="F72" s="411">
        <f t="shared" si="7"/>
        <v>27259085.969999999</v>
      </c>
    </row>
  </sheetData>
  <sheetProtection algorithmName="SHA-512" hashValue="s+wwG2rrMsvJ7oYkzEZOTDSBrfgduLj3LnT1ibJ/V2vXygFihSQA1D1E9BqpgOUqVXcwwfbxDSf9dm/2s5DpIA==" saltValue="JZTJPV6Fspt5B1P2vcq1vg==" spinCount="100000" sheet="1" objects="1" scenarios="1"/>
  <mergeCells count="6">
    <mergeCell ref="A7:F7"/>
    <mergeCell ref="A1:F1"/>
    <mergeCell ref="A3:F3"/>
    <mergeCell ref="A4:F4"/>
    <mergeCell ref="A5:F5"/>
    <mergeCell ref="A6:F6"/>
  </mergeCells>
  <pageMargins left="0.7" right="0.7" top="0.75" bottom="0.75" header="0.3" footer="0.3"/>
  <pageSetup scale="60"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pageSetUpPr fitToPage="1"/>
  </sheetPr>
  <dimension ref="A1:AG83"/>
  <sheetViews>
    <sheetView view="pageBreakPreview" zoomScale="60" zoomScaleNormal="60" workbookViewId="0">
      <pane xSplit="1" ySplit="11" topLeftCell="R12" activePane="bottomRight" state="frozen"/>
      <selection pane="topRight" activeCell="B1" sqref="B1"/>
      <selection pane="bottomLeft" activeCell="A12" sqref="A12"/>
      <selection pane="bottomRight" activeCell="AA79" sqref="AA79"/>
    </sheetView>
  </sheetViews>
  <sheetFormatPr defaultRowHeight="18.75" x14ac:dyDescent="0.3"/>
  <cols>
    <col min="1" max="1" width="63.140625" style="49" customWidth="1"/>
    <col min="2" max="3" width="14.140625" style="414" customWidth="1"/>
    <col min="4" max="4" width="13.140625" style="414" customWidth="1"/>
    <col min="5" max="5" width="14.28515625" style="304" customWidth="1"/>
    <col min="6" max="6" width="1" style="49" customWidth="1"/>
    <col min="7" max="7" width="14.5703125" style="414" customWidth="1"/>
    <col min="8" max="8" width="14.28515625" style="414" customWidth="1"/>
    <col min="9" max="9" width="12.140625" style="414" customWidth="1"/>
    <col min="10" max="10" width="10.7109375" style="304" customWidth="1"/>
    <col min="11" max="11" width="1.140625" style="49" customWidth="1"/>
    <col min="12" max="12" width="14" style="414" customWidth="1"/>
    <col min="13" max="13" width="14.140625" style="414" customWidth="1"/>
    <col min="14" max="14" width="12.85546875" style="414" customWidth="1"/>
    <col min="15" max="15" width="9" style="305" customWidth="1"/>
    <col min="16" max="16" width="1" style="49" customWidth="1"/>
    <col min="17" max="17" width="13.85546875" style="414" customWidth="1"/>
    <col min="18" max="18" width="17.140625" style="414" customWidth="1"/>
    <col min="19" max="19" width="12.85546875" style="414" customWidth="1"/>
    <col min="20" max="20" width="9.85546875" style="305" customWidth="1"/>
    <col min="21" max="21" width="1.28515625" style="49" customWidth="1"/>
    <col min="22" max="22" width="14.28515625" style="414" customWidth="1"/>
    <col min="23" max="23" width="14.140625" style="414" customWidth="1"/>
    <col min="24" max="24" width="13" style="414" customWidth="1"/>
    <col min="25" max="25" width="15.85546875" style="305" customWidth="1"/>
    <col min="26" max="26" width="1" style="49" customWidth="1"/>
    <col min="27" max="27" width="16.28515625" style="414" customWidth="1"/>
    <col min="28" max="28" width="13.7109375" style="414" customWidth="1"/>
    <col min="29" max="29" width="13.42578125" style="305" customWidth="1"/>
    <col min="30" max="30" width="1" style="49" customWidth="1"/>
    <col min="31" max="31" width="66.42578125" style="49" customWidth="1"/>
    <col min="32" max="16384" width="9.140625" style="49"/>
  </cols>
  <sheetData>
    <row r="1" spans="1:31" x14ac:dyDescent="0.3">
      <c r="A1" s="1431" t="s">
        <v>49</v>
      </c>
      <c r="B1" s="1432"/>
      <c r="C1" s="1432"/>
      <c r="D1" s="1432"/>
      <c r="E1" s="1432"/>
      <c r="F1" s="1432"/>
      <c r="G1" s="1432"/>
      <c r="H1" s="1432"/>
      <c r="I1" s="415"/>
      <c r="J1" s="88"/>
      <c r="K1" s="89"/>
      <c r="L1" s="416"/>
      <c r="M1" s="416"/>
      <c r="N1" s="416"/>
      <c r="O1" s="91"/>
      <c r="P1" s="120"/>
      <c r="Q1" s="415"/>
      <c r="R1" s="417"/>
      <c r="S1" s="429"/>
      <c r="T1" s="93"/>
      <c r="U1" s="120"/>
      <c r="V1" s="430"/>
      <c r="W1" s="430"/>
      <c r="X1" s="430"/>
      <c r="Y1" s="123"/>
      <c r="Z1" s="120"/>
      <c r="AA1" s="430"/>
      <c r="AB1" s="430"/>
      <c r="AC1" s="123"/>
      <c r="AD1" s="120"/>
      <c r="AE1" s="124"/>
    </row>
    <row r="2" spans="1:31" x14ac:dyDescent="0.3">
      <c r="A2" s="125"/>
      <c r="B2" s="418"/>
      <c r="C2" s="418"/>
      <c r="D2" s="418"/>
      <c r="E2" s="95"/>
      <c r="F2" s="96"/>
      <c r="G2" s="418"/>
      <c r="H2" s="418"/>
      <c r="I2" s="418"/>
      <c r="J2" s="95"/>
      <c r="K2" s="97"/>
      <c r="L2" s="357"/>
      <c r="M2" s="357"/>
      <c r="N2" s="357"/>
      <c r="O2" s="98"/>
      <c r="P2" s="97"/>
      <c r="Q2" s="418"/>
      <c r="R2" s="419"/>
      <c r="S2" s="431"/>
      <c r="T2" s="100"/>
      <c r="U2" s="97"/>
      <c r="V2" s="432"/>
      <c r="W2" s="432"/>
      <c r="X2" s="432"/>
      <c r="Y2" s="128"/>
      <c r="Z2" s="97"/>
      <c r="AA2" s="432"/>
      <c r="AB2" s="432"/>
      <c r="AC2" s="128"/>
      <c r="AD2" s="97"/>
      <c r="AE2" s="129"/>
    </row>
    <row r="3" spans="1:31" s="52" customFormat="1" x14ac:dyDescent="0.3">
      <c r="A3" s="1433" t="s">
        <v>177</v>
      </c>
      <c r="B3" s="1434"/>
      <c r="C3" s="1434"/>
      <c r="D3" s="1434"/>
      <c r="E3" s="1434"/>
      <c r="F3" s="1434"/>
      <c r="G3" s="1434"/>
      <c r="H3" s="1434"/>
      <c r="I3" s="420"/>
      <c r="J3" s="102"/>
      <c r="K3" s="103"/>
      <c r="L3" s="421"/>
      <c r="M3" s="421"/>
      <c r="N3" s="421"/>
      <c r="O3" s="105"/>
      <c r="P3" s="130"/>
      <c r="Q3" s="420"/>
      <c r="R3" s="422"/>
      <c r="S3" s="428"/>
      <c r="T3" s="107"/>
      <c r="U3" s="130"/>
      <c r="V3" s="433"/>
      <c r="W3" s="433"/>
      <c r="X3" s="433"/>
      <c r="Y3" s="132"/>
      <c r="Z3" s="130"/>
      <c r="AA3" s="433"/>
      <c r="AB3" s="433"/>
      <c r="AC3" s="132"/>
      <c r="AD3" s="130"/>
      <c r="AE3" s="133"/>
    </row>
    <row r="4" spans="1:31" x14ac:dyDescent="0.3">
      <c r="A4" s="1435" t="s">
        <v>51</v>
      </c>
      <c r="B4" s="1436"/>
      <c r="C4" s="1436"/>
      <c r="D4" s="1436"/>
      <c r="E4" s="1436"/>
      <c r="F4" s="1436"/>
      <c r="G4" s="1436"/>
      <c r="H4" s="1436"/>
      <c r="I4" s="418"/>
      <c r="J4" s="95"/>
      <c r="K4" s="108"/>
      <c r="L4" s="423"/>
      <c r="M4" s="423"/>
      <c r="N4" s="423"/>
      <c r="O4" s="110"/>
      <c r="P4" s="134"/>
      <c r="Q4" s="424"/>
      <c r="R4" s="425"/>
      <c r="S4" s="431"/>
      <c r="T4" s="113"/>
      <c r="U4" s="134"/>
      <c r="V4" s="432"/>
      <c r="W4" s="432"/>
      <c r="X4" s="432"/>
      <c r="Y4" s="128"/>
      <c r="Z4" s="134"/>
      <c r="AA4" s="432"/>
      <c r="AB4" s="432"/>
      <c r="AC4" s="128"/>
      <c r="AD4" s="134"/>
      <c r="AE4" s="129"/>
    </row>
    <row r="5" spans="1:31" x14ac:dyDescent="0.3">
      <c r="A5" s="1435" t="s">
        <v>52</v>
      </c>
      <c r="B5" s="1437"/>
      <c r="C5" s="1437"/>
      <c r="D5" s="1437"/>
      <c r="E5" s="1437"/>
      <c r="F5" s="1437"/>
      <c r="G5" s="1437"/>
      <c r="H5" s="1437"/>
      <c r="I5" s="418"/>
      <c r="J5" s="95"/>
      <c r="K5" s="108"/>
      <c r="L5" s="423"/>
      <c r="M5" s="423"/>
      <c r="N5" s="423"/>
      <c r="O5" s="110"/>
      <c r="P5" s="134"/>
      <c r="Q5" s="424"/>
      <c r="R5" s="425"/>
      <c r="S5" s="431"/>
      <c r="T5" s="113"/>
      <c r="U5" s="134"/>
      <c r="V5" s="432"/>
      <c r="W5" s="432"/>
      <c r="X5" s="432"/>
      <c r="Y5" s="128"/>
      <c r="Z5" s="134"/>
      <c r="AA5" s="432"/>
      <c r="AB5" s="432"/>
      <c r="AC5" s="128"/>
      <c r="AD5" s="134"/>
      <c r="AE5" s="129"/>
    </row>
    <row r="6" spans="1:31" s="52" customFormat="1" x14ac:dyDescent="0.3">
      <c r="A6" s="1433" t="s">
        <v>194</v>
      </c>
      <c r="B6" s="1468"/>
      <c r="C6" s="1468"/>
      <c r="D6" s="1468"/>
      <c r="E6" s="1468"/>
      <c r="F6" s="1468"/>
      <c r="G6" s="1468"/>
      <c r="H6" s="1468"/>
      <c r="I6" s="420"/>
      <c r="J6" s="102"/>
      <c r="K6" s="114"/>
      <c r="L6" s="426"/>
      <c r="M6" s="426"/>
      <c r="N6" s="426"/>
      <c r="O6" s="116"/>
      <c r="P6" s="130"/>
      <c r="Q6" s="427"/>
      <c r="R6" s="428"/>
      <c r="S6" s="428"/>
      <c r="T6" s="119"/>
      <c r="U6" s="130"/>
      <c r="V6" s="433"/>
      <c r="W6" s="433"/>
      <c r="X6" s="433"/>
      <c r="Y6" s="132"/>
      <c r="Z6" s="130"/>
      <c r="AA6" s="421"/>
      <c r="AB6" s="421"/>
      <c r="AC6" s="132"/>
      <c r="AD6" s="130"/>
      <c r="AE6" s="133"/>
    </row>
    <row r="7" spans="1:31" s="52" customFormat="1" x14ac:dyDescent="0.3">
      <c r="A7" s="1429" t="s">
        <v>2</v>
      </c>
      <c r="B7" s="1430"/>
      <c r="C7" s="1430"/>
      <c r="D7" s="1430"/>
      <c r="E7" s="1430"/>
      <c r="F7" s="1430"/>
      <c r="G7" s="1430"/>
      <c r="H7" s="1430"/>
      <c r="I7" s="420"/>
      <c r="J7" s="102"/>
      <c r="K7" s="114"/>
      <c r="L7" s="426"/>
      <c r="M7" s="426"/>
      <c r="N7" s="426"/>
      <c r="O7" s="116"/>
      <c r="P7" s="130"/>
      <c r="Q7" s="427"/>
      <c r="R7" s="428"/>
      <c r="S7" s="428"/>
      <c r="T7" s="119"/>
      <c r="U7" s="130"/>
      <c r="V7" s="433"/>
      <c r="W7" s="433"/>
      <c r="X7" s="433"/>
      <c r="Y7" s="132"/>
      <c r="Z7" s="130"/>
      <c r="AA7" s="433"/>
      <c r="AB7" s="433"/>
      <c r="AC7" s="132"/>
      <c r="AD7" s="130"/>
      <c r="AE7" s="133"/>
    </row>
    <row r="8" spans="1:31" ht="19.5" thickBot="1" x14ac:dyDescent="0.35">
      <c r="A8" s="135" t="s">
        <v>173</v>
      </c>
      <c r="B8" s="434"/>
      <c r="C8" s="432"/>
      <c r="D8" s="432"/>
      <c r="E8" s="137"/>
      <c r="F8" s="138"/>
      <c r="G8" s="432"/>
      <c r="H8" s="432"/>
      <c r="I8" s="432"/>
      <c r="J8" s="137"/>
      <c r="K8" s="138"/>
      <c r="L8" s="432"/>
      <c r="M8" s="432"/>
      <c r="N8" s="432"/>
      <c r="O8" s="128"/>
      <c r="P8" s="138"/>
      <c r="Q8" s="432"/>
      <c r="R8" s="432"/>
      <c r="S8" s="432"/>
      <c r="T8" s="128"/>
      <c r="U8" s="138"/>
      <c r="V8" s="432"/>
      <c r="W8" s="432"/>
      <c r="X8" s="432"/>
      <c r="Y8" s="128"/>
      <c r="Z8" s="138"/>
      <c r="AA8" s="432"/>
      <c r="AB8" s="432"/>
      <c r="AC8" s="128"/>
      <c r="AD8" s="138"/>
      <c r="AE8" s="139"/>
    </row>
    <row r="9" spans="1:31" x14ac:dyDescent="0.3">
      <c r="A9" s="1344"/>
      <c r="B9" s="1446" t="s">
        <v>53</v>
      </c>
      <c r="C9" s="1447"/>
      <c r="D9" s="1448"/>
      <c r="E9" s="1449"/>
      <c r="F9" s="141"/>
      <c r="G9" s="1446" t="s">
        <v>54</v>
      </c>
      <c r="H9" s="1447"/>
      <c r="I9" s="1447"/>
      <c r="J9" s="1450"/>
      <c r="K9" s="141"/>
      <c r="L9" s="1451" t="s">
        <v>55</v>
      </c>
      <c r="M9" s="1452"/>
      <c r="N9" s="1452"/>
      <c r="O9" s="1453"/>
      <c r="P9" s="141"/>
      <c r="Q9" s="1454" t="s">
        <v>56</v>
      </c>
      <c r="R9" s="1448"/>
      <c r="S9" s="1448"/>
      <c r="T9" s="1449"/>
      <c r="U9" s="141"/>
      <c r="V9" s="1455" t="s">
        <v>57</v>
      </c>
      <c r="W9" s="1456"/>
      <c r="X9" s="1456"/>
      <c r="Y9" s="1457"/>
      <c r="Z9" s="141"/>
      <c r="AA9" s="1455" t="s">
        <v>196</v>
      </c>
      <c r="AB9" s="1456"/>
      <c r="AC9" s="1457"/>
      <c r="AD9" s="142"/>
      <c r="AE9" s="1439" t="s">
        <v>58</v>
      </c>
    </row>
    <row r="10" spans="1:31" ht="37.5" x14ac:dyDescent="0.3">
      <c r="A10" s="1303" t="s">
        <v>59</v>
      </c>
      <c r="B10" s="1288" t="s">
        <v>60</v>
      </c>
      <c r="C10" s="435" t="s">
        <v>61</v>
      </c>
      <c r="D10" s="1441" t="s">
        <v>62</v>
      </c>
      <c r="E10" s="1442"/>
      <c r="F10" s="1295"/>
      <c r="G10" s="1290" t="s">
        <v>60</v>
      </c>
      <c r="H10" s="435" t="s">
        <v>61</v>
      </c>
      <c r="I10" s="1443" t="s">
        <v>62</v>
      </c>
      <c r="J10" s="1471"/>
      <c r="K10" s="1295"/>
      <c r="L10" s="1290" t="s">
        <v>60</v>
      </c>
      <c r="M10" s="435" t="s">
        <v>61</v>
      </c>
      <c r="N10" s="1443" t="s">
        <v>62</v>
      </c>
      <c r="O10" s="1471"/>
      <c r="P10" s="145"/>
      <c r="Q10" s="436" t="s">
        <v>60</v>
      </c>
      <c r="R10" s="437" t="s">
        <v>61</v>
      </c>
      <c r="S10" s="1445" t="s">
        <v>62</v>
      </c>
      <c r="T10" s="1442"/>
      <c r="U10" s="145"/>
      <c r="V10" s="436" t="s">
        <v>60</v>
      </c>
      <c r="W10" s="437" t="s">
        <v>61</v>
      </c>
      <c r="X10" s="1445" t="s">
        <v>62</v>
      </c>
      <c r="Y10" s="1442"/>
      <c r="Z10" s="145"/>
      <c r="AA10" s="438" t="s">
        <v>63</v>
      </c>
      <c r="AB10" s="1445" t="s">
        <v>64</v>
      </c>
      <c r="AC10" s="1442"/>
      <c r="AD10" s="149"/>
      <c r="AE10" s="1440"/>
    </row>
    <row r="11" spans="1:31" x14ac:dyDescent="0.3">
      <c r="A11" s="1304"/>
      <c r="B11" s="1289" t="s">
        <v>107</v>
      </c>
      <c r="C11" s="439" t="s">
        <v>107</v>
      </c>
      <c r="D11" s="440" t="s">
        <v>107</v>
      </c>
      <c r="E11" s="153" t="s">
        <v>65</v>
      </c>
      <c r="F11" s="1293"/>
      <c r="G11" s="1289" t="s">
        <v>107</v>
      </c>
      <c r="H11" s="439" t="s">
        <v>107</v>
      </c>
      <c r="I11" s="441" t="s">
        <v>107</v>
      </c>
      <c r="J11" s="153" t="s">
        <v>65</v>
      </c>
      <c r="K11" s="1293"/>
      <c r="L11" s="1289" t="s">
        <v>107</v>
      </c>
      <c r="M11" s="439" t="s">
        <v>107</v>
      </c>
      <c r="N11" s="441" t="s">
        <v>107</v>
      </c>
      <c r="O11" s="161" t="s">
        <v>65</v>
      </c>
      <c r="P11" s="154"/>
      <c r="Q11" s="442" t="s">
        <v>107</v>
      </c>
      <c r="R11" s="443" t="s">
        <v>107</v>
      </c>
      <c r="S11" s="444" t="s">
        <v>107</v>
      </c>
      <c r="T11" s="161" t="s">
        <v>65</v>
      </c>
      <c r="U11" s="1293"/>
      <c r="V11" s="1345" t="s">
        <v>107</v>
      </c>
      <c r="W11" s="443" t="s">
        <v>107</v>
      </c>
      <c r="X11" s="444" t="s">
        <v>107</v>
      </c>
      <c r="Y11" s="161" t="s">
        <v>65</v>
      </c>
      <c r="Z11" s="154"/>
      <c r="AA11" s="442" t="s">
        <v>107</v>
      </c>
      <c r="AB11" s="444" t="s">
        <v>107</v>
      </c>
      <c r="AC11" s="161" t="s">
        <v>65</v>
      </c>
      <c r="AD11" s="162"/>
      <c r="AE11" s="1440"/>
    </row>
    <row r="12" spans="1:31" x14ac:dyDescent="0.3">
      <c r="A12" s="1301"/>
      <c r="B12" s="1291"/>
      <c r="C12" s="445"/>
      <c r="D12" s="446"/>
      <c r="E12" s="166"/>
      <c r="F12" s="1294"/>
      <c r="G12" s="1291"/>
      <c r="H12" s="445"/>
      <c r="I12" s="446"/>
      <c r="J12" s="166"/>
      <c r="K12" s="1292"/>
      <c r="L12" s="1291"/>
      <c r="M12" s="445"/>
      <c r="N12" s="446"/>
      <c r="O12" s="866"/>
      <c r="P12" s="1294"/>
      <c r="Q12" s="447"/>
      <c r="R12" s="446"/>
      <c r="S12" s="446"/>
      <c r="T12" s="910"/>
      <c r="U12" s="1365"/>
      <c r="V12" s="447"/>
      <c r="W12" s="446"/>
      <c r="X12" s="446"/>
      <c r="Y12" s="866"/>
      <c r="Z12" s="167"/>
      <c r="AA12" s="865"/>
      <c r="AB12" s="446"/>
      <c r="AC12" s="866"/>
      <c r="AD12" s="1294"/>
      <c r="AE12" s="832"/>
    </row>
    <row r="13" spans="1:31" x14ac:dyDescent="0.3">
      <c r="A13" s="1302" t="s">
        <v>66</v>
      </c>
      <c r="B13" s="1278"/>
      <c r="C13" s="448"/>
      <c r="D13" s="448"/>
      <c r="E13" s="174"/>
      <c r="F13" s="175"/>
      <c r="G13" s="448"/>
      <c r="H13" s="448"/>
      <c r="I13" s="448"/>
      <c r="J13" s="174"/>
      <c r="K13" s="1323"/>
      <c r="L13" s="1278"/>
      <c r="M13" s="448"/>
      <c r="N13" s="448"/>
      <c r="O13" s="867"/>
      <c r="P13" s="1284"/>
      <c r="Q13" s="1278"/>
      <c r="R13" s="448"/>
      <c r="S13" s="448"/>
      <c r="T13" s="911"/>
      <c r="U13" s="933"/>
      <c r="V13" s="1278"/>
      <c r="W13" s="448"/>
      <c r="X13" s="448"/>
      <c r="Y13" s="911"/>
      <c r="Z13" s="1351"/>
      <c r="AA13" s="1278"/>
      <c r="AB13" s="448"/>
      <c r="AC13" s="867"/>
      <c r="AD13" s="1284"/>
      <c r="AE13" s="1372"/>
    </row>
    <row r="14" spans="1:31" x14ac:dyDescent="0.3">
      <c r="A14" s="1272" t="s">
        <v>132</v>
      </c>
      <c r="B14" s="642">
        <v>3600196</v>
      </c>
      <c r="C14" s="451">
        <v>5490281</v>
      </c>
      <c r="D14" s="452">
        <f>C14-B14</f>
        <v>1890085</v>
      </c>
      <c r="E14" s="183">
        <f t="shared" ref="E14:E25" si="0">IF(ISERROR(D14/B14),"-",D14/B14)</f>
        <v>0.52499502804847287</v>
      </c>
      <c r="F14" s="184"/>
      <c r="G14" s="450">
        <v>4177213</v>
      </c>
      <c r="H14" s="451">
        <v>4174494</v>
      </c>
      <c r="I14" s="452">
        <f>H14-G14</f>
        <v>-2719</v>
      </c>
      <c r="J14" s="183">
        <f t="shared" ref="J14:J25" si="1">IF(ISERROR(I14/G14),"-",I14/G14)</f>
        <v>-6.5091246244804851E-4</v>
      </c>
      <c r="K14" s="1366"/>
      <c r="L14" s="642">
        <v>3630836</v>
      </c>
      <c r="M14" s="451">
        <v>3318736</v>
      </c>
      <c r="N14" s="452">
        <f>M14-L14</f>
        <v>-312100</v>
      </c>
      <c r="O14" s="868">
        <f t="shared" ref="O14:O25" si="2">IF(ISERROR(N14/L14),"-",N14/L14)</f>
        <v>-8.5958165006626577E-2</v>
      </c>
      <c r="P14" s="184"/>
      <c r="Q14" s="450">
        <v>3883847</v>
      </c>
      <c r="R14" s="451">
        <v>4087784</v>
      </c>
      <c r="S14" s="452">
        <f t="shared" ref="S14:S23" si="3">R14-Q14</f>
        <v>203937</v>
      </c>
      <c r="T14" s="868">
        <f t="shared" ref="T14:T29" si="4">IF(ISERROR(S14/Q14),"-",S14/Q14)</f>
        <v>5.2509020051510785E-2</v>
      </c>
      <c r="U14" s="184"/>
      <c r="V14" s="453">
        <f>B14+G14+L14+Q14</f>
        <v>15292092</v>
      </c>
      <c r="W14" s="452">
        <f>C14+H14+M14+R14</f>
        <v>17071295</v>
      </c>
      <c r="X14" s="452">
        <f>W14-V14</f>
        <v>1779203</v>
      </c>
      <c r="Y14" s="868">
        <f t="shared" ref="Y14:Y25" si="5">IF(ISERROR(X14/V14),"-",X14/V14)</f>
        <v>0.11634791367982876</v>
      </c>
      <c r="Z14" s="188"/>
      <c r="AA14" s="453">
        <v>15453870.972790001</v>
      </c>
      <c r="AB14" s="452">
        <f>AA14-W14</f>
        <v>-1617424.027209999</v>
      </c>
      <c r="AC14" s="868">
        <f t="shared" ref="AC14:AC27" si="6">IF(ISERROR(AB14/AA14),"-",AB14/AA14)</f>
        <v>-0.10466141655109171</v>
      </c>
      <c r="AD14" s="1285"/>
      <c r="AE14" s="1119"/>
    </row>
    <row r="15" spans="1:31" x14ac:dyDescent="0.3">
      <c r="A15" s="190" t="s">
        <v>111</v>
      </c>
      <c r="B15" s="450">
        <v>2555802</v>
      </c>
      <c r="C15" s="451">
        <v>2445681</v>
      </c>
      <c r="D15" s="452">
        <f t="shared" ref="D15:D24" si="7">C15-B15</f>
        <v>-110121</v>
      </c>
      <c r="E15" s="183">
        <f t="shared" si="0"/>
        <v>-4.3086671033202101E-2</v>
      </c>
      <c r="F15" s="184"/>
      <c r="G15" s="450">
        <v>2018089</v>
      </c>
      <c r="H15" s="451">
        <v>1852261</v>
      </c>
      <c r="I15" s="452">
        <f t="shared" ref="I15:I24" si="8">H15-G15</f>
        <v>-165828</v>
      </c>
      <c r="J15" s="183">
        <f t="shared" si="1"/>
        <v>-8.2170806143832112E-2</v>
      </c>
      <c r="K15" s="184"/>
      <c r="L15" s="450">
        <v>2022532</v>
      </c>
      <c r="M15" s="451">
        <v>1426681</v>
      </c>
      <c r="N15" s="452">
        <f t="shared" ref="N15:N23" si="9">M15-L15</f>
        <v>-595851</v>
      </c>
      <c r="O15" s="868">
        <f t="shared" si="2"/>
        <v>-0.29460646358129317</v>
      </c>
      <c r="P15" s="184"/>
      <c r="Q15" s="450">
        <v>2306825</v>
      </c>
      <c r="R15" s="451">
        <v>2035351</v>
      </c>
      <c r="S15" s="452">
        <f t="shared" si="3"/>
        <v>-271474</v>
      </c>
      <c r="T15" s="868">
        <f t="shared" si="4"/>
        <v>-0.11768296251341129</v>
      </c>
      <c r="U15" s="184"/>
      <c r="V15" s="453">
        <f t="shared" ref="V15:W23" si="10">B15+G15+L15+Q15</f>
        <v>8903248</v>
      </c>
      <c r="W15" s="452">
        <f t="shared" si="10"/>
        <v>7759974</v>
      </c>
      <c r="X15" s="452">
        <f t="shared" ref="X15:X24" si="11">W15-V15</f>
        <v>-1143274</v>
      </c>
      <c r="Y15" s="868">
        <f t="shared" si="5"/>
        <v>-0.12841089004821613</v>
      </c>
      <c r="Z15" s="188"/>
      <c r="AA15" s="453">
        <v>8903247.9460799992</v>
      </c>
      <c r="AB15" s="452">
        <f t="shared" ref="AB15:AB24" si="12">AA15-W15</f>
        <v>1143273.9460799992</v>
      </c>
      <c r="AC15" s="868">
        <f t="shared" si="6"/>
        <v>0.1284108847696834</v>
      </c>
      <c r="AD15" s="1285"/>
      <c r="AE15" s="1119"/>
    </row>
    <row r="16" spans="1:31" x14ac:dyDescent="0.3">
      <c r="A16" s="190" t="s">
        <v>69</v>
      </c>
      <c r="B16" s="450">
        <v>0</v>
      </c>
      <c r="C16" s="451">
        <v>0</v>
      </c>
      <c r="D16" s="452">
        <f t="shared" si="7"/>
        <v>0</v>
      </c>
      <c r="E16" s="183" t="str">
        <f t="shared" si="0"/>
        <v>-</v>
      </c>
      <c r="F16" s="191"/>
      <c r="G16" s="450">
        <v>0</v>
      </c>
      <c r="H16" s="451">
        <v>0</v>
      </c>
      <c r="I16" s="452">
        <f t="shared" si="8"/>
        <v>0</v>
      </c>
      <c r="J16" s="183" t="str">
        <f t="shared" si="1"/>
        <v>-</v>
      </c>
      <c r="K16" s="191"/>
      <c r="L16" s="450">
        <v>0</v>
      </c>
      <c r="M16" s="451">
        <v>0</v>
      </c>
      <c r="N16" s="452">
        <f t="shared" si="9"/>
        <v>0</v>
      </c>
      <c r="O16" s="868" t="str">
        <f t="shared" si="2"/>
        <v>-</v>
      </c>
      <c r="P16" s="191"/>
      <c r="Q16" s="450">
        <v>0</v>
      </c>
      <c r="R16" s="451">
        <v>0</v>
      </c>
      <c r="S16" s="452">
        <f t="shared" si="3"/>
        <v>0</v>
      </c>
      <c r="T16" s="868" t="str">
        <f t="shared" si="4"/>
        <v>-</v>
      </c>
      <c r="U16" s="191"/>
      <c r="V16" s="453">
        <f t="shared" si="10"/>
        <v>0</v>
      </c>
      <c r="W16" s="452">
        <f t="shared" si="10"/>
        <v>0</v>
      </c>
      <c r="X16" s="452">
        <f t="shared" si="11"/>
        <v>0</v>
      </c>
      <c r="Y16" s="868" t="str">
        <f t="shared" si="5"/>
        <v>-</v>
      </c>
      <c r="Z16" s="188"/>
      <c r="AA16" s="453">
        <v>0</v>
      </c>
      <c r="AB16" s="452">
        <f t="shared" si="12"/>
        <v>0</v>
      </c>
      <c r="AC16" s="868" t="str">
        <f t="shared" si="6"/>
        <v>-</v>
      </c>
      <c r="AD16" s="1358"/>
      <c r="AE16" s="1120"/>
    </row>
    <row r="17" spans="1:33" x14ac:dyDescent="0.3">
      <c r="A17" s="190" t="s">
        <v>68</v>
      </c>
      <c r="B17" s="450">
        <v>44850</v>
      </c>
      <c r="C17" s="451">
        <v>63799</v>
      </c>
      <c r="D17" s="452">
        <f t="shared" si="7"/>
        <v>18949</v>
      </c>
      <c r="E17" s="183">
        <f t="shared" si="0"/>
        <v>0.42249721293199555</v>
      </c>
      <c r="F17" s="184"/>
      <c r="G17" s="450">
        <v>43050</v>
      </c>
      <c r="H17" s="451">
        <v>69858</v>
      </c>
      <c r="I17" s="452">
        <f t="shared" si="8"/>
        <v>26808</v>
      </c>
      <c r="J17" s="183">
        <f t="shared" si="1"/>
        <v>0.62271777003484319</v>
      </c>
      <c r="K17" s="184"/>
      <c r="L17" s="1142">
        <v>43050</v>
      </c>
      <c r="M17" s="452">
        <v>72492</v>
      </c>
      <c r="N17" s="452">
        <f t="shared" si="9"/>
        <v>29442</v>
      </c>
      <c r="O17" s="868">
        <f t="shared" si="2"/>
        <v>0.6839024390243903</v>
      </c>
      <c r="P17" s="184"/>
      <c r="Q17" s="450">
        <v>38652</v>
      </c>
      <c r="R17" s="451">
        <v>78449</v>
      </c>
      <c r="S17" s="452">
        <f t="shared" si="3"/>
        <v>39797</v>
      </c>
      <c r="T17" s="868">
        <f t="shared" si="4"/>
        <v>1.0296233053917003</v>
      </c>
      <c r="U17" s="184"/>
      <c r="V17" s="453">
        <f t="shared" si="10"/>
        <v>169602</v>
      </c>
      <c r="W17" s="452">
        <f>C17+H17+M17+R17</f>
        <v>284598</v>
      </c>
      <c r="X17" s="452">
        <f t="shared" si="11"/>
        <v>114996</v>
      </c>
      <c r="Y17" s="868">
        <f t="shared" si="5"/>
        <v>0.67803445714083566</v>
      </c>
      <c r="Z17" s="188"/>
      <c r="AA17" s="453">
        <v>169602</v>
      </c>
      <c r="AB17" s="452">
        <f t="shared" si="12"/>
        <v>-114996</v>
      </c>
      <c r="AC17" s="868">
        <f t="shared" si="6"/>
        <v>-0.67803445714083566</v>
      </c>
      <c r="AD17" s="1285"/>
      <c r="AE17" s="1119"/>
    </row>
    <row r="18" spans="1:33" x14ac:dyDescent="0.3">
      <c r="A18" s="190" t="s">
        <v>71</v>
      </c>
      <c r="B18" s="450">
        <v>156484</v>
      </c>
      <c r="C18" s="451">
        <v>107943</v>
      </c>
      <c r="D18" s="452">
        <f t="shared" si="7"/>
        <v>-48541</v>
      </c>
      <c r="E18" s="183">
        <f t="shared" si="0"/>
        <v>-0.31019784770327957</v>
      </c>
      <c r="F18" s="184"/>
      <c r="G18" s="450">
        <v>113415</v>
      </c>
      <c r="H18" s="451">
        <v>90753</v>
      </c>
      <c r="I18" s="452">
        <f t="shared" si="8"/>
        <v>-22662</v>
      </c>
      <c r="J18" s="183">
        <f t="shared" si="1"/>
        <v>-0.19981483930696997</v>
      </c>
      <c r="K18" s="184"/>
      <c r="L18" s="450">
        <v>106087</v>
      </c>
      <c r="M18" s="451">
        <v>51514</v>
      </c>
      <c r="N18" s="452">
        <f t="shared" si="9"/>
        <v>-54573</v>
      </c>
      <c r="O18" s="868">
        <f t="shared" si="2"/>
        <v>-0.51441741212401138</v>
      </c>
      <c r="P18" s="184"/>
      <c r="Q18" s="450">
        <v>107643</v>
      </c>
      <c r="R18" s="451">
        <v>548588.81000000006</v>
      </c>
      <c r="S18" s="452">
        <f t="shared" si="3"/>
        <v>440945.81000000006</v>
      </c>
      <c r="T18" s="868">
        <f t="shared" si="4"/>
        <v>4.0963723604879094</v>
      </c>
      <c r="U18" s="184"/>
      <c r="V18" s="453">
        <f t="shared" si="10"/>
        <v>483629</v>
      </c>
      <c r="W18" s="452">
        <f t="shared" si="10"/>
        <v>798798.81</v>
      </c>
      <c r="X18" s="452">
        <f t="shared" si="11"/>
        <v>315169.81000000006</v>
      </c>
      <c r="Y18" s="868">
        <f t="shared" si="5"/>
        <v>0.65167682252304981</v>
      </c>
      <c r="Z18" s="188"/>
      <c r="AA18" s="453">
        <v>429629.26</v>
      </c>
      <c r="AB18" s="452">
        <f t="shared" si="12"/>
        <v>-369169.55000000005</v>
      </c>
      <c r="AC18" s="868">
        <f t="shared" si="6"/>
        <v>-0.85927469185874361</v>
      </c>
      <c r="AD18" s="1285"/>
      <c r="AE18" s="1119"/>
    </row>
    <row r="19" spans="1:33" x14ac:dyDescent="0.3">
      <c r="A19" s="190" t="s">
        <v>202</v>
      </c>
      <c r="B19" s="450">
        <v>0</v>
      </c>
      <c r="C19" s="451">
        <v>0</v>
      </c>
      <c r="D19" s="452">
        <f t="shared" si="7"/>
        <v>0</v>
      </c>
      <c r="E19" s="183" t="str">
        <f t="shared" si="0"/>
        <v>-</v>
      </c>
      <c r="F19" s="184"/>
      <c r="G19" s="450">
        <v>0</v>
      </c>
      <c r="H19" s="451">
        <v>0</v>
      </c>
      <c r="I19" s="452">
        <f>H19-G19</f>
        <v>0</v>
      </c>
      <c r="J19" s="183" t="str">
        <f t="shared" si="1"/>
        <v>-</v>
      </c>
      <c r="K19" s="184"/>
      <c r="L19" s="450">
        <v>0</v>
      </c>
      <c r="M19" s="451">
        <v>0</v>
      </c>
      <c r="N19" s="452">
        <f t="shared" si="9"/>
        <v>0</v>
      </c>
      <c r="O19" s="868" t="str">
        <f t="shared" si="2"/>
        <v>-</v>
      </c>
      <c r="P19" s="184"/>
      <c r="Q19" s="450">
        <v>0</v>
      </c>
      <c r="R19" s="451">
        <v>176463.19</v>
      </c>
      <c r="S19" s="452">
        <f t="shared" si="3"/>
        <v>176463.19</v>
      </c>
      <c r="T19" s="868" t="str">
        <f t="shared" si="4"/>
        <v>-</v>
      </c>
      <c r="U19" s="184"/>
      <c r="V19" s="453">
        <f t="shared" si="10"/>
        <v>0</v>
      </c>
      <c r="W19" s="452">
        <f t="shared" si="10"/>
        <v>176463.19</v>
      </c>
      <c r="X19" s="452">
        <f t="shared" si="11"/>
        <v>176463.19</v>
      </c>
      <c r="Y19" s="868" t="str">
        <f t="shared" si="5"/>
        <v>-</v>
      </c>
      <c r="Z19" s="188"/>
      <c r="AA19" s="453">
        <v>0</v>
      </c>
      <c r="AB19" s="452">
        <f t="shared" si="12"/>
        <v>-176463.19</v>
      </c>
      <c r="AC19" s="868" t="str">
        <f t="shared" si="6"/>
        <v>-</v>
      </c>
      <c r="AD19" s="1285"/>
      <c r="AE19" s="1119"/>
    </row>
    <row r="20" spans="1:33" x14ac:dyDescent="0.3">
      <c r="A20" s="194" t="s">
        <v>67</v>
      </c>
      <c r="B20" s="450">
        <v>0</v>
      </c>
      <c r="C20" s="451">
        <v>0</v>
      </c>
      <c r="D20" s="452">
        <f t="shared" si="7"/>
        <v>0</v>
      </c>
      <c r="E20" s="183" t="str">
        <f t="shared" si="0"/>
        <v>-</v>
      </c>
      <c r="F20" s="184"/>
      <c r="G20" s="450">
        <v>0</v>
      </c>
      <c r="H20" s="451">
        <v>0</v>
      </c>
      <c r="I20" s="452">
        <f t="shared" si="8"/>
        <v>0</v>
      </c>
      <c r="J20" s="183" t="str">
        <f t="shared" si="1"/>
        <v>-</v>
      </c>
      <c r="K20" s="184"/>
      <c r="L20" s="450">
        <v>0</v>
      </c>
      <c r="M20" s="451">
        <v>0</v>
      </c>
      <c r="N20" s="452">
        <f t="shared" si="9"/>
        <v>0</v>
      </c>
      <c r="O20" s="868" t="str">
        <f t="shared" si="2"/>
        <v>-</v>
      </c>
      <c r="P20" s="184"/>
      <c r="Q20" s="450">
        <v>0</v>
      </c>
      <c r="R20" s="451">
        <v>0</v>
      </c>
      <c r="S20" s="452">
        <f t="shared" si="3"/>
        <v>0</v>
      </c>
      <c r="T20" s="868" t="str">
        <f t="shared" si="4"/>
        <v>-</v>
      </c>
      <c r="U20" s="184"/>
      <c r="V20" s="453">
        <f t="shared" si="10"/>
        <v>0</v>
      </c>
      <c r="W20" s="452">
        <f>C20+H20+M20+R20</f>
        <v>0</v>
      </c>
      <c r="X20" s="452">
        <f t="shared" si="11"/>
        <v>0</v>
      </c>
      <c r="Y20" s="868" t="str">
        <f t="shared" si="5"/>
        <v>-</v>
      </c>
      <c r="Z20" s="188"/>
      <c r="AA20" s="453">
        <v>0</v>
      </c>
      <c r="AB20" s="452">
        <f t="shared" si="12"/>
        <v>0</v>
      </c>
      <c r="AC20" s="868" t="str">
        <f t="shared" si="6"/>
        <v>-</v>
      </c>
      <c r="AD20" s="1285"/>
      <c r="AE20" s="1119"/>
    </row>
    <row r="21" spans="1:33" x14ac:dyDescent="0.3">
      <c r="A21" s="181" t="s">
        <v>112</v>
      </c>
      <c r="B21" s="450">
        <v>0</v>
      </c>
      <c r="C21" s="451">
        <v>0</v>
      </c>
      <c r="D21" s="452">
        <f t="shared" si="7"/>
        <v>0</v>
      </c>
      <c r="E21" s="183" t="str">
        <f t="shared" si="0"/>
        <v>-</v>
      </c>
      <c r="F21" s="184"/>
      <c r="G21" s="450">
        <v>0</v>
      </c>
      <c r="H21" s="451">
        <v>0</v>
      </c>
      <c r="I21" s="452">
        <f t="shared" si="8"/>
        <v>0</v>
      </c>
      <c r="J21" s="183" t="str">
        <f t="shared" si="1"/>
        <v>-</v>
      </c>
      <c r="K21" s="184"/>
      <c r="L21" s="450">
        <v>0</v>
      </c>
      <c r="M21" s="451">
        <v>0</v>
      </c>
      <c r="N21" s="452">
        <f t="shared" si="9"/>
        <v>0</v>
      </c>
      <c r="O21" s="868" t="str">
        <f t="shared" si="2"/>
        <v>-</v>
      </c>
      <c r="P21" s="184"/>
      <c r="Q21" s="450">
        <v>0</v>
      </c>
      <c r="R21" s="451">
        <v>0</v>
      </c>
      <c r="S21" s="452">
        <f t="shared" si="3"/>
        <v>0</v>
      </c>
      <c r="T21" s="868" t="str">
        <f t="shared" si="4"/>
        <v>-</v>
      </c>
      <c r="U21" s="184"/>
      <c r="V21" s="453">
        <f t="shared" si="10"/>
        <v>0</v>
      </c>
      <c r="W21" s="452">
        <f t="shared" si="10"/>
        <v>0</v>
      </c>
      <c r="X21" s="452">
        <f t="shared" si="11"/>
        <v>0</v>
      </c>
      <c r="Y21" s="868" t="str">
        <f t="shared" si="5"/>
        <v>-</v>
      </c>
      <c r="Z21" s="188"/>
      <c r="AA21" s="453">
        <v>0</v>
      </c>
      <c r="AB21" s="452">
        <f t="shared" si="12"/>
        <v>0</v>
      </c>
      <c r="AC21" s="868" t="str">
        <f t="shared" si="6"/>
        <v>-</v>
      </c>
      <c r="AD21" s="1285"/>
      <c r="AE21" s="1119"/>
      <c r="AG21" s="195"/>
    </row>
    <row r="22" spans="1:33" x14ac:dyDescent="0.3">
      <c r="A22" s="190" t="s">
        <v>70</v>
      </c>
      <c r="B22" s="450">
        <v>0</v>
      </c>
      <c r="C22" s="451">
        <v>0</v>
      </c>
      <c r="D22" s="452">
        <f t="shared" si="7"/>
        <v>0</v>
      </c>
      <c r="E22" s="183" t="str">
        <f t="shared" si="0"/>
        <v>-</v>
      </c>
      <c r="F22" s="184"/>
      <c r="G22" s="450">
        <v>0</v>
      </c>
      <c r="H22" s="451">
        <v>0</v>
      </c>
      <c r="I22" s="452">
        <f t="shared" si="8"/>
        <v>0</v>
      </c>
      <c r="J22" s="183" t="str">
        <f t="shared" si="1"/>
        <v>-</v>
      </c>
      <c r="K22" s="184"/>
      <c r="L22" s="450">
        <v>0</v>
      </c>
      <c r="M22" s="451">
        <v>0</v>
      </c>
      <c r="N22" s="452">
        <f t="shared" si="9"/>
        <v>0</v>
      </c>
      <c r="O22" s="868" t="str">
        <f t="shared" si="2"/>
        <v>-</v>
      </c>
      <c r="P22" s="184"/>
      <c r="Q22" s="450">
        <v>0</v>
      </c>
      <c r="R22" s="451">
        <v>0</v>
      </c>
      <c r="S22" s="452">
        <f t="shared" si="3"/>
        <v>0</v>
      </c>
      <c r="T22" s="868" t="str">
        <f t="shared" si="4"/>
        <v>-</v>
      </c>
      <c r="U22" s="184"/>
      <c r="V22" s="453">
        <f t="shared" si="10"/>
        <v>0</v>
      </c>
      <c r="W22" s="452">
        <f t="shared" si="10"/>
        <v>0</v>
      </c>
      <c r="X22" s="452">
        <f t="shared" si="11"/>
        <v>0</v>
      </c>
      <c r="Y22" s="868" t="str">
        <f t="shared" si="5"/>
        <v>-</v>
      </c>
      <c r="Z22" s="188"/>
      <c r="AA22" s="453">
        <v>0</v>
      </c>
      <c r="AB22" s="452">
        <f t="shared" si="12"/>
        <v>0</v>
      </c>
      <c r="AC22" s="868" t="str">
        <f t="shared" si="6"/>
        <v>-</v>
      </c>
      <c r="AD22" s="1285"/>
      <c r="AE22" s="1120"/>
    </row>
    <row r="23" spans="1:33" x14ac:dyDescent="0.3">
      <c r="A23" s="190" t="s">
        <v>72</v>
      </c>
      <c r="B23" s="450">
        <v>0</v>
      </c>
      <c r="C23" s="451">
        <v>0</v>
      </c>
      <c r="D23" s="452">
        <f t="shared" si="7"/>
        <v>0</v>
      </c>
      <c r="E23" s="183" t="str">
        <f t="shared" si="0"/>
        <v>-</v>
      </c>
      <c r="F23" s="184"/>
      <c r="G23" s="450">
        <v>0</v>
      </c>
      <c r="H23" s="451">
        <v>0</v>
      </c>
      <c r="I23" s="452">
        <f t="shared" si="8"/>
        <v>0</v>
      </c>
      <c r="J23" s="183" t="str">
        <f t="shared" si="1"/>
        <v>-</v>
      </c>
      <c r="K23" s="184"/>
      <c r="L23" s="450">
        <v>0</v>
      </c>
      <c r="M23" s="451">
        <v>0</v>
      </c>
      <c r="N23" s="452">
        <f t="shared" si="9"/>
        <v>0</v>
      </c>
      <c r="O23" s="868" t="str">
        <f t="shared" si="2"/>
        <v>-</v>
      </c>
      <c r="P23" s="184"/>
      <c r="Q23" s="450">
        <v>0</v>
      </c>
      <c r="R23" s="451">
        <v>0</v>
      </c>
      <c r="S23" s="452">
        <f t="shared" si="3"/>
        <v>0</v>
      </c>
      <c r="T23" s="868" t="str">
        <f t="shared" si="4"/>
        <v>-</v>
      </c>
      <c r="U23" s="1314"/>
      <c r="V23" s="453">
        <f t="shared" si="10"/>
        <v>0</v>
      </c>
      <c r="W23" s="452">
        <f t="shared" si="10"/>
        <v>0</v>
      </c>
      <c r="X23" s="452">
        <f t="shared" si="11"/>
        <v>0</v>
      </c>
      <c r="Y23" s="868" t="str">
        <f t="shared" si="5"/>
        <v>-</v>
      </c>
      <c r="Z23" s="188"/>
      <c r="AA23" s="453">
        <v>0</v>
      </c>
      <c r="AB23" s="452">
        <f t="shared" si="12"/>
        <v>0</v>
      </c>
      <c r="AC23" s="1178" t="str">
        <f t="shared" si="6"/>
        <v>-</v>
      </c>
      <c r="AD23" s="1285"/>
      <c r="AE23" s="1119"/>
    </row>
    <row r="24" spans="1:33" x14ac:dyDescent="0.3">
      <c r="A24" s="190" t="s">
        <v>131</v>
      </c>
      <c r="B24" s="450">
        <v>0</v>
      </c>
      <c r="C24" s="451">
        <v>0</v>
      </c>
      <c r="D24" s="452">
        <f t="shared" si="7"/>
        <v>0</v>
      </c>
      <c r="E24" s="183" t="str">
        <f t="shared" si="0"/>
        <v>-</v>
      </c>
      <c r="F24" s="184"/>
      <c r="G24" s="450">
        <v>0</v>
      </c>
      <c r="H24" s="451">
        <v>0</v>
      </c>
      <c r="I24" s="452">
        <f t="shared" si="8"/>
        <v>0</v>
      </c>
      <c r="J24" s="183" t="str">
        <f t="shared" si="1"/>
        <v>-</v>
      </c>
      <c r="K24" s="184"/>
      <c r="L24" s="450">
        <v>0</v>
      </c>
      <c r="M24" s="451">
        <v>0</v>
      </c>
      <c r="N24" s="1167"/>
      <c r="O24" s="1319"/>
      <c r="P24" s="184"/>
      <c r="Q24" s="450">
        <v>0</v>
      </c>
      <c r="R24" s="451">
        <v>0</v>
      </c>
      <c r="S24" s="432"/>
      <c r="T24" s="1319"/>
      <c r="U24" s="184"/>
      <c r="V24" s="1142"/>
      <c r="W24" s="1166"/>
      <c r="X24" s="452">
        <f t="shared" si="11"/>
        <v>0</v>
      </c>
      <c r="Y24" s="1319"/>
      <c r="Z24" s="188"/>
      <c r="AA24" s="1142">
        <v>0</v>
      </c>
      <c r="AB24" s="1370">
        <f t="shared" si="12"/>
        <v>0</v>
      </c>
      <c r="AC24" s="868" t="str">
        <f t="shared" si="6"/>
        <v>-</v>
      </c>
      <c r="AD24" s="1285"/>
      <c r="AE24" s="1119"/>
    </row>
    <row r="25" spans="1:33" x14ac:dyDescent="0.3">
      <c r="A25" s="199" t="s">
        <v>73</v>
      </c>
      <c r="B25" s="833">
        <f>SUM(B14:B24)</f>
        <v>6357332</v>
      </c>
      <c r="C25" s="834">
        <f>SUM(C14:C24)</f>
        <v>8107704</v>
      </c>
      <c r="D25" s="834">
        <f>SUM(D14:D24)</f>
        <v>1750372</v>
      </c>
      <c r="E25" s="836">
        <f t="shared" si="0"/>
        <v>0.27533122385302516</v>
      </c>
      <c r="F25" s="203"/>
      <c r="G25" s="833">
        <f>SUM(G14:G24)</f>
        <v>6351767</v>
      </c>
      <c r="H25" s="833">
        <f>SUM(H14:H24)</f>
        <v>6187366</v>
      </c>
      <c r="I25" s="833">
        <f t="shared" ref="I25" si="13">SUM(I14:I24)</f>
        <v>-164401</v>
      </c>
      <c r="J25" s="836">
        <f t="shared" si="1"/>
        <v>-2.5882718934746821E-2</v>
      </c>
      <c r="K25" s="203"/>
      <c r="L25" s="833">
        <f>SUM(L14:L24)</f>
        <v>5802505</v>
      </c>
      <c r="M25" s="833">
        <f t="shared" ref="M25:N25" si="14">SUM(M14:M24)</f>
        <v>4869423</v>
      </c>
      <c r="N25" s="833">
        <f t="shared" si="14"/>
        <v>-933082</v>
      </c>
      <c r="O25" s="835">
        <f t="shared" si="2"/>
        <v>-0.16080675501356742</v>
      </c>
      <c r="P25" s="203"/>
      <c r="Q25" s="1367">
        <f>SUM(Q14:Q24)</f>
        <v>6336967</v>
      </c>
      <c r="R25" s="833">
        <f t="shared" ref="R25:S25" si="15">SUM(R14:R24)</f>
        <v>6926636.0000000009</v>
      </c>
      <c r="S25" s="833">
        <f t="shared" si="15"/>
        <v>589669</v>
      </c>
      <c r="T25" s="1368">
        <f t="shared" si="4"/>
        <v>9.3052244078279084E-2</v>
      </c>
      <c r="U25" s="203"/>
      <c r="V25" s="1369">
        <f>SUM(V14:V24)</f>
        <v>24848571</v>
      </c>
      <c r="W25" s="1369">
        <f t="shared" ref="W25:X25" si="16">SUM(W14:W24)</f>
        <v>26091129</v>
      </c>
      <c r="X25" s="1333">
        <f t="shared" si="16"/>
        <v>1242558</v>
      </c>
      <c r="Y25" s="1368">
        <f t="shared" si="5"/>
        <v>5.0005209555108822E-2</v>
      </c>
      <c r="Z25" s="179"/>
      <c r="AA25" s="1371">
        <f>SUM(AA14:AA23)</f>
        <v>24956350.178870004</v>
      </c>
      <c r="AB25" s="458">
        <f>SUM(AB14:AB23)</f>
        <v>-1134778.8211299998</v>
      </c>
      <c r="AC25" s="208">
        <f t="shared" si="6"/>
        <v>-4.5470544089848214E-2</v>
      </c>
      <c r="AD25" s="1359"/>
      <c r="AE25" s="1373"/>
    </row>
    <row r="26" spans="1:33" x14ac:dyDescent="0.3">
      <c r="A26" s="210"/>
      <c r="B26" s="450"/>
      <c r="C26" s="451"/>
      <c r="D26" s="451"/>
      <c r="E26" s="251"/>
      <c r="F26" s="184"/>
      <c r="G26" s="463"/>
      <c r="H26" s="464"/>
      <c r="I26" s="464"/>
      <c r="J26" s="254"/>
      <c r="K26" s="184"/>
      <c r="L26" s="450"/>
      <c r="M26" s="451"/>
      <c r="N26" s="451"/>
      <c r="O26" s="217"/>
      <c r="P26" s="184"/>
      <c r="Q26" s="463"/>
      <c r="R26" s="464"/>
      <c r="S26" s="464"/>
      <c r="T26" s="218" t="str">
        <f t="shared" si="4"/>
        <v>-</v>
      </c>
      <c r="U26" s="184"/>
      <c r="V26" s="459"/>
      <c r="W26" s="460"/>
      <c r="X26" s="460"/>
      <c r="Y26" s="217"/>
      <c r="Z26" s="188"/>
      <c r="AA26" s="459"/>
      <c r="AB26" s="460"/>
      <c r="AC26" s="217"/>
      <c r="AD26" s="1285"/>
      <c r="AE26" s="1119"/>
    </row>
    <row r="27" spans="1:33" x14ac:dyDescent="0.3">
      <c r="A27" s="172" t="s">
        <v>74</v>
      </c>
      <c r="B27" s="450"/>
      <c r="C27" s="451"/>
      <c r="D27" s="451">
        <f>C27-B27</f>
        <v>0</v>
      </c>
      <c r="E27" s="220" t="str">
        <f>IF(ISERROR(D27/B27),"-",D27/B27)</f>
        <v>-</v>
      </c>
      <c r="F27" s="184"/>
      <c r="G27" s="463"/>
      <c r="H27" s="464"/>
      <c r="I27" s="451">
        <f>H27-G27</f>
        <v>0</v>
      </c>
      <c r="J27" s="221" t="str">
        <f>IF(ISERROR(I27/G27),"-",I27/G27)</f>
        <v>-</v>
      </c>
      <c r="K27" s="184"/>
      <c r="L27" s="450"/>
      <c r="M27" s="451"/>
      <c r="N27" s="451">
        <f>M27-L27</f>
        <v>0</v>
      </c>
      <c r="O27" s="222" t="str">
        <f>IF(ISERROR(N27/L27),"-",N27/L27)</f>
        <v>-</v>
      </c>
      <c r="P27" s="184"/>
      <c r="Q27" s="463">
        <v>0</v>
      </c>
      <c r="R27" s="464">
        <v>0</v>
      </c>
      <c r="S27" s="451">
        <f>R27-Q27</f>
        <v>0</v>
      </c>
      <c r="T27" s="223"/>
      <c r="U27" s="184"/>
      <c r="V27" s="450">
        <f>B27+G27+L27+Q27</f>
        <v>0</v>
      </c>
      <c r="W27" s="451">
        <f>C27+H27+M27+R27</f>
        <v>0</v>
      </c>
      <c r="X27" s="451">
        <f>W27-V27</f>
        <v>0</v>
      </c>
      <c r="Y27" s="225"/>
      <c r="Z27" s="188"/>
      <c r="AA27" s="450">
        <v>0</v>
      </c>
      <c r="AB27" s="451">
        <f>AA27-W27</f>
        <v>0</v>
      </c>
      <c r="AC27" s="1319" t="str">
        <f t="shared" si="6"/>
        <v>-</v>
      </c>
      <c r="AD27" s="1285"/>
      <c r="AE27" s="1119"/>
    </row>
    <row r="28" spans="1:33" x14ac:dyDescent="0.3">
      <c r="A28" s="226"/>
      <c r="B28" s="465"/>
      <c r="C28" s="466"/>
      <c r="D28" s="466"/>
      <c r="E28" s="229"/>
      <c r="F28" s="175"/>
      <c r="G28" s="467"/>
      <c r="H28" s="468"/>
      <c r="I28" s="468"/>
      <c r="J28" s="232"/>
      <c r="K28" s="175"/>
      <c r="L28" s="465"/>
      <c r="M28" s="466"/>
      <c r="N28" s="466"/>
      <c r="O28" s="233"/>
      <c r="P28" s="175"/>
      <c r="Q28" s="467"/>
      <c r="R28" s="468"/>
      <c r="S28" s="468"/>
      <c r="T28" s="234"/>
      <c r="U28" s="175"/>
      <c r="V28" s="465"/>
      <c r="W28" s="466"/>
      <c r="X28" s="466"/>
      <c r="Y28" s="233"/>
      <c r="Z28" s="179"/>
      <c r="AA28" s="465"/>
      <c r="AB28" s="466"/>
      <c r="AC28" s="233"/>
      <c r="AD28" s="1284"/>
      <c r="AE28" s="1119"/>
    </row>
    <row r="29" spans="1:33" x14ac:dyDescent="0.3">
      <c r="A29" s="199" t="s">
        <v>75</v>
      </c>
      <c r="B29" s="469">
        <f>B25+B27</f>
        <v>6357332</v>
      </c>
      <c r="C29" s="470">
        <f>C25+C27</f>
        <v>8107704</v>
      </c>
      <c r="D29" s="470">
        <f>D25+D27</f>
        <v>1750372</v>
      </c>
      <c r="E29" s="237">
        <f>IF(ISERROR(D29/B29),"-",D29/B29)</f>
        <v>0.27533122385302516</v>
      </c>
      <c r="F29" s="203"/>
      <c r="G29" s="469">
        <f>G25+G27</f>
        <v>6351767</v>
      </c>
      <c r="H29" s="470">
        <f>H25+H27</f>
        <v>6187366</v>
      </c>
      <c r="I29" s="470">
        <f>I25+I27</f>
        <v>-164401</v>
      </c>
      <c r="J29" s="237">
        <f>IF(ISERROR(I29/G29),"-",I29/G29)</f>
        <v>-2.5882718934746821E-2</v>
      </c>
      <c r="K29" s="203"/>
      <c r="L29" s="469">
        <f>L25+L27</f>
        <v>5802505</v>
      </c>
      <c r="M29" s="470">
        <f>M25+M27</f>
        <v>4869423</v>
      </c>
      <c r="N29" s="470">
        <f>N25+N27</f>
        <v>-933082</v>
      </c>
      <c r="O29" s="238">
        <f>IF(ISERROR(N29/L29),"-",N29/L29)</f>
        <v>-0.16080675501356742</v>
      </c>
      <c r="P29" s="203"/>
      <c r="Q29" s="469">
        <f>Q25+Q27</f>
        <v>6336967</v>
      </c>
      <c r="R29" s="470">
        <f>R25+R27</f>
        <v>6926636.0000000009</v>
      </c>
      <c r="S29" s="470">
        <f>S25+S27</f>
        <v>589669</v>
      </c>
      <c r="T29" s="238">
        <f t="shared" si="4"/>
        <v>9.3052244078279084E-2</v>
      </c>
      <c r="U29" s="203"/>
      <c r="V29" s="469">
        <f>V25+V27</f>
        <v>24848571</v>
      </c>
      <c r="W29" s="470">
        <f>W25+W27</f>
        <v>26091129</v>
      </c>
      <c r="X29" s="470">
        <f>X25+X27</f>
        <v>1242558</v>
      </c>
      <c r="Y29" s="238">
        <f>IF(ISERROR(X29/V29),"-",X29/V29)</f>
        <v>5.0005209555108822E-2</v>
      </c>
      <c r="Z29" s="179"/>
      <c r="AA29" s="471">
        <f>AA25+AA27</f>
        <v>24956350.178870004</v>
      </c>
      <c r="AB29" s="472">
        <f>AA29-W29</f>
        <v>-1134778.8211299963</v>
      </c>
      <c r="AC29" s="241">
        <f>IF(ISERROR(AB29/AA29),"-",AB29/AA29)</f>
        <v>-4.5470544089848075E-2</v>
      </c>
      <c r="AD29" s="1359"/>
      <c r="AE29" s="1373"/>
    </row>
    <row r="30" spans="1:33" x14ac:dyDescent="0.3">
      <c r="A30" s="242"/>
      <c r="B30" s="473"/>
      <c r="C30" s="474"/>
      <c r="D30" s="474"/>
      <c r="E30" s="245"/>
      <c r="F30" s="175"/>
      <c r="G30" s="475"/>
      <c r="H30" s="476"/>
      <c r="I30" s="476"/>
      <c r="J30" s="248"/>
      <c r="K30" s="175"/>
      <c r="L30" s="473"/>
      <c r="M30" s="474"/>
      <c r="N30" s="474"/>
      <c r="O30" s="249"/>
      <c r="P30" s="175"/>
      <c r="Q30" s="475"/>
      <c r="R30" s="476"/>
      <c r="S30" s="476"/>
      <c r="T30" s="250"/>
      <c r="U30" s="175"/>
      <c r="V30" s="459"/>
      <c r="W30" s="460"/>
      <c r="X30" s="474"/>
      <c r="Y30" s="249"/>
      <c r="Z30" s="179"/>
      <c r="AA30" s="459"/>
      <c r="AB30" s="474"/>
      <c r="AC30" s="249"/>
      <c r="AD30" s="1284"/>
      <c r="AE30" s="1119"/>
    </row>
    <row r="31" spans="1:33" x14ac:dyDescent="0.3">
      <c r="A31" s="172" t="s">
        <v>76</v>
      </c>
      <c r="B31" s="450"/>
      <c r="C31" s="451"/>
      <c r="D31" s="451"/>
      <c r="E31" s="251"/>
      <c r="F31" s="184"/>
      <c r="G31" s="463"/>
      <c r="H31" s="464"/>
      <c r="I31" s="464"/>
      <c r="J31" s="254"/>
      <c r="K31" s="184"/>
      <c r="L31" s="450"/>
      <c r="M31" s="451"/>
      <c r="N31" s="451"/>
      <c r="O31" s="225"/>
      <c r="P31" s="184"/>
      <c r="Q31" s="463"/>
      <c r="R31" s="464"/>
      <c r="S31" s="464"/>
      <c r="T31" s="255"/>
      <c r="U31" s="184"/>
      <c r="V31" s="450"/>
      <c r="W31" s="451"/>
      <c r="X31" s="451" t="s">
        <v>193</v>
      </c>
      <c r="Y31" s="225"/>
      <c r="Z31" s="188"/>
      <c r="AA31" s="450"/>
      <c r="AB31" s="451"/>
      <c r="AC31" s="225"/>
      <c r="AD31" s="1285"/>
      <c r="AE31" s="1119"/>
    </row>
    <row r="32" spans="1:33" x14ac:dyDescent="0.3">
      <c r="A32" s="172" t="s">
        <v>77</v>
      </c>
      <c r="B32" s="450"/>
      <c r="C32" s="451"/>
      <c r="D32" s="451"/>
      <c r="E32" s="251"/>
      <c r="F32" s="184"/>
      <c r="G32" s="463"/>
      <c r="H32" s="464"/>
      <c r="I32" s="464"/>
      <c r="J32" s="254"/>
      <c r="K32" s="184"/>
      <c r="L32" s="450"/>
      <c r="M32" s="451"/>
      <c r="N32" s="451"/>
      <c r="O32" s="225"/>
      <c r="P32" s="184"/>
      <c r="Q32" s="463"/>
      <c r="R32" s="464"/>
      <c r="S32" s="464"/>
      <c r="T32" s="255"/>
      <c r="U32" s="184"/>
      <c r="V32" s="450"/>
      <c r="W32" s="451"/>
      <c r="X32" s="451"/>
      <c r="Y32" s="225"/>
      <c r="Z32" s="188"/>
      <c r="AA32" s="450"/>
      <c r="AB32" s="451"/>
      <c r="AC32" s="225"/>
      <c r="AD32" s="1285"/>
      <c r="AE32" s="1119"/>
    </row>
    <row r="33" spans="1:31" x14ac:dyDescent="0.3">
      <c r="A33" s="190" t="s">
        <v>78</v>
      </c>
      <c r="B33" s="450">
        <v>2412021</v>
      </c>
      <c r="C33" s="451">
        <v>2035259</v>
      </c>
      <c r="D33" s="452">
        <f t="shared" ref="D33:D40" si="17">C33-B33</f>
        <v>-376762</v>
      </c>
      <c r="E33" s="220">
        <f t="shared" ref="E33:E40" si="18">IF(ISERROR(D33/B33),"-",D33/B33)</f>
        <v>-0.15620179094626457</v>
      </c>
      <c r="F33" s="191"/>
      <c r="G33" s="463">
        <v>2412021</v>
      </c>
      <c r="H33" s="464">
        <v>1988742.13</v>
      </c>
      <c r="I33" s="452">
        <f t="shared" ref="I33:I40" si="19">H33-G33</f>
        <v>-423278.87000000011</v>
      </c>
      <c r="J33" s="221">
        <f t="shared" ref="J33:J41" si="20">IF(ISERROR(I33/G33),"-",I33/G33)</f>
        <v>-0.17548722419912602</v>
      </c>
      <c r="K33" s="191"/>
      <c r="L33" s="450">
        <v>2412021</v>
      </c>
      <c r="M33" s="464">
        <v>2077934.52</v>
      </c>
      <c r="N33" s="452">
        <f t="shared" ref="N33:N40" si="21">M33-L33</f>
        <v>-334086.48</v>
      </c>
      <c r="O33" s="222">
        <f t="shared" ref="O33:O41" si="22">IF(ISERROR(N33/L33),"-",N33/L33)</f>
        <v>-0.13850894333009536</v>
      </c>
      <c r="P33" s="191"/>
      <c r="Q33" s="1251">
        <v>2464878.96</v>
      </c>
      <c r="R33" s="464">
        <v>2137235</v>
      </c>
      <c r="S33" s="452">
        <f t="shared" ref="S33:S40" si="23">R33-Q33</f>
        <v>-327643.95999999996</v>
      </c>
      <c r="T33" s="223">
        <f t="shared" ref="T33:T41" si="24">IF(ISERROR(S33/Q33),"-",S33/Q33)</f>
        <v>-0.13292496926502223</v>
      </c>
      <c r="U33" s="191"/>
      <c r="V33" s="450">
        <f t="shared" ref="V33:V40" si="25">B33+G33+L33+Q33</f>
        <v>9700941.9600000009</v>
      </c>
      <c r="W33" s="451">
        <f t="shared" ref="W33:W40" si="26">C33+H33+M33+R33</f>
        <v>8239170.6500000004</v>
      </c>
      <c r="X33" s="452">
        <f t="shared" ref="X33:X40" si="27">W33-V33</f>
        <v>-1461771.3100000005</v>
      </c>
      <c r="Y33" s="222">
        <f t="shared" ref="Y33:Y41" si="28">IF(ISERROR(X33/V33),"-",X33/V33)</f>
        <v>-0.15068344043571624</v>
      </c>
      <c r="Z33" s="188"/>
      <c r="AA33" s="450">
        <v>9420271</v>
      </c>
      <c r="AB33" s="451">
        <f t="shared" ref="AB33:AB40" si="29">AA33-W33</f>
        <v>1181100.3499999996</v>
      </c>
      <c r="AC33" s="222">
        <f t="shared" ref="AC33:AC40" si="30">IF(ISERROR(AB33/AA33),"-",AB33/AA33)</f>
        <v>0.12537859579623556</v>
      </c>
      <c r="AD33" s="1358"/>
      <c r="AE33" s="1120"/>
    </row>
    <row r="34" spans="1:31" x14ac:dyDescent="0.3">
      <c r="A34" s="190" t="s">
        <v>79</v>
      </c>
      <c r="B34" s="450">
        <v>105847</v>
      </c>
      <c r="C34" s="451">
        <v>0</v>
      </c>
      <c r="D34" s="452">
        <f t="shared" si="17"/>
        <v>-105847</v>
      </c>
      <c r="E34" s="220">
        <f t="shared" si="18"/>
        <v>-1</v>
      </c>
      <c r="F34" s="191"/>
      <c r="G34" s="463">
        <v>52858</v>
      </c>
      <c r="H34" s="464">
        <v>100126.75</v>
      </c>
      <c r="I34" s="452">
        <f t="shared" si="19"/>
        <v>47268.75</v>
      </c>
      <c r="J34" s="221">
        <f t="shared" si="20"/>
        <v>0.89425914714896515</v>
      </c>
      <c r="K34" s="191"/>
      <c r="L34" s="450">
        <v>52858</v>
      </c>
      <c r="M34" s="464">
        <v>17030.07</v>
      </c>
      <c r="N34" s="452">
        <f t="shared" si="21"/>
        <v>-35827.93</v>
      </c>
      <c r="O34" s="222">
        <f t="shared" si="22"/>
        <v>-0.67781471111279279</v>
      </c>
      <c r="P34" s="191"/>
      <c r="Q34" s="463">
        <v>52858.11</v>
      </c>
      <c r="R34" s="464">
        <v>60342.400000000001</v>
      </c>
      <c r="S34" s="452">
        <f t="shared" si="23"/>
        <v>7484.2900000000009</v>
      </c>
      <c r="T34" s="223">
        <f t="shared" si="24"/>
        <v>0.14159208492320291</v>
      </c>
      <c r="U34" s="191"/>
      <c r="V34" s="450">
        <f t="shared" si="25"/>
        <v>264421.11</v>
      </c>
      <c r="W34" s="451">
        <f t="shared" si="26"/>
        <v>177499.22</v>
      </c>
      <c r="X34" s="452">
        <f t="shared" si="27"/>
        <v>-86921.889999999985</v>
      </c>
      <c r="Y34" s="222">
        <f t="shared" si="28"/>
        <v>-0.3287252292375597</v>
      </c>
      <c r="Z34" s="188"/>
      <c r="AA34" s="450">
        <v>219945</v>
      </c>
      <c r="AB34" s="451">
        <f t="shared" si="29"/>
        <v>42445.78</v>
      </c>
      <c r="AC34" s="222">
        <f t="shared" si="30"/>
        <v>0.19298360953874832</v>
      </c>
      <c r="AD34" s="1358"/>
      <c r="AE34" s="1120"/>
    </row>
    <row r="35" spans="1:31" x14ac:dyDescent="0.3">
      <c r="A35" s="190" t="s">
        <v>81</v>
      </c>
      <c r="B35" s="450">
        <v>116359</v>
      </c>
      <c r="C35" s="451">
        <v>98120</v>
      </c>
      <c r="D35" s="452">
        <f t="shared" si="17"/>
        <v>-18239</v>
      </c>
      <c r="E35" s="220">
        <f t="shared" si="18"/>
        <v>-0.15674765166424601</v>
      </c>
      <c r="F35" s="191"/>
      <c r="G35" s="463">
        <v>188571</v>
      </c>
      <c r="H35" s="464">
        <v>98838.7</v>
      </c>
      <c r="I35" s="452">
        <f t="shared" si="19"/>
        <v>-89732.3</v>
      </c>
      <c r="J35" s="221">
        <f t="shared" si="20"/>
        <v>-0.47585418754739595</v>
      </c>
      <c r="K35" s="191"/>
      <c r="L35" s="450">
        <v>188571</v>
      </c>
      <c r="M35" s="464">
        <v>100394.56</v>
      </c>
      <c r="N35" s="452">
        <f t="shared" si="21"/>
        <v>-88176.44</v>
      </c>
      <c r="O35" s="222">
        <f t="shared" si="22"/>
        <v>-0.46760339606832441</v>
      </c>
      <c r="P35" s="191"/>
      <c r="Q35" s="463">
        <v>188570.95199999999</v>
      </c>
      <c r="R35" s="464">
        <v>104552.96000000001</v>
      </c>
      <c r="S35" s="452">
        <f t="shared" si="23"/>
        <v>-84017.991999999984</v>
      </c>
      <c r="T35" s="223">
        <f t="shared" si="24"/>
        <v>-0.44555108360485973</v>
      </c>
      <c r="U35" s="191"/>
      <c r="V35" s="450">
        <f t="shared" si="25"/>
        <v>682071.95200000005</v>
      </c>
      <c r="W35" s="451">
        <f t="shared" si="26"/>
        <v>401906.22000000003</v>
      </c>
      <c r="X35" s="452">
        <f t="shared" si="27"/>
        <v>-280165.73200000002</v>
      </c>
      <c r="Y35" s="222">
        <f t="shared" si="28"/>
        <v>-0.41075685809757501</v>
      </c>
      <c r="Z35" s="188"/>
      <c r="AA35" s="450">
        <v>474553</v>
      </c>
      <c r="AB35" s="451">
        <f t="shared" si="29"/>
        <v>72646.77999999997</v>
      </c>
      <c r="AC35" s="222">
        <f t="shared" si="30"/>
        <v>0.15308465018659659</v>
      </c>
      <c r="AD35" s="1358"/>
      <c r="AE35" s="1120"/>
    </row>
    <row r="36" spans="1:31" ht="30" customHeight="1" x14ac:dyDescent="0.3">
      <c r="A36" s="190" t="s">
        <v>106</v>
      </c>
      <c r="B36" s="450">
        <v>112750</v>
      </c>
      <c r="C36" s="451">
        <v>98634</v>
      </c>
      <c r="D36" s="452">
        <f t="shared" si="17"/>
        <v>-14116</v>
      </c>
      <c r="E36" s="220">
        <f t="shared" si="18"/>
        <v>-0.12519733924611973</v>
      </c>
      <c r="F36" s="256"/>
      <c r="G36" s="463">
        <v>120601</v>
      </c>
      <c r="H36" s="464">
        <v>99880.01</v>
      </c>
      <c r="I36" s="452">
        <f t="shared" si="19"/>
        <v>-20720.990000000005</v>
      </c>
      <c r="J36" s="221">
        <f t="shared" si="20"/>
        <v>-0.17181441281581417</v>
      </c>
      <c r="K36" s="256"/>
      <c r="L36" s="450">
        <v>120601</v>
      </c>
      <c r="M36" s="464">
        <v>100564.77</v>
      </c>
      <c r="N36" s="452">
        <f t="shared" si="21"/>
        <v>-20036.229999999996</v>
      </c>
      <c r="O36" s="222">
        <f t="shared" si="22"/>
        <v>-0.16613651628095949</v>
      </c>
      <c r="P36" s="256"/>
      <c r="Q36" s="463">
        <v>120601.03200000001</v>
      </c>
      <c r="R36" s="464">
        <v>91355.85</v>
      </c>
      <c r="S36" s="452">
        <f t="shared" si="23"/>
        <v>-29245.182000000001</v>
      </c>
      <c r="T36" s="223">
        <f t="shared" si="24"/>
        <v>-0.24249528810002222</v>
      </c>
      <c r="U36" s="256"/>
      <c r="V36" s="450">
        <f t="shared" si="25"/>
        <v>474553.03200000001</v>
      </c>
      <c r="W36" s="451">
        <f t="shared" si="26"/>
        <v>390434.63</v>
      </c>
      <c r="X36" s="452">
        <f t="shared" si="27"/>
        <v>-84118.402000000002</v>
      </c>
      <c r="Y36" s="222">
        <f t="shared" si="28"/>
        <v>-0.17725816995728308</v>
      </c>
      <c r="Z36" s="257"/>
      <c r="AA36" s="450">
        <v>474553</v>
      </c>
      <c r="AB36" s="451">
        <f t="shared" si="29"/>
        <v>84118.37</v>
      </c>
      <c r="AC36" s="222">
        <f t="shared" si="30"/>
        <v>0.17725811447825637</v>
      </c>
      <c r="AD36" s="1375"/>
      <c r="AE36" s="1119"/>
    </row>
    <row r="37" spans="1:31" x14ac:dyDescent="0.3">
      <c r="A37" s="190" t="s">
        <v>80</v>
      </c>
      <c r="B37" s="450">
        <v>102100</v>
      </c>
      <c r="C37" s="451">
        <v>60704</v>
      </c>
      <c r="D37" s="452">
        <f t="shared" si="17"/>
        <v>-41396</v>
      </c>
      <c r="E37" s="220">
        <f t="shared" si="18"/>
        <v>-0.40544564152791379</v>
      </c>
      <c r="F37" s="256"/>
      <c r="G37" s="463">
        <v>55300</v>
      </c>
      <c r="H37" s="464">
        <v>59334.04</v>
      </c>
      <c r="I37" s="452">
        <f t="shared" si="19"/>
        <v>4034.0400000000009</v>
      </c>
      <c r="J37" s="221">
        <f t="shared" si="20"/>
        <v>7.2948282097649197E-2</v>
      </c>
      <c r="K37" s="256"/>
      <c r="L37" s="450">
        <v>55300</v>
      </c>
      <c r="M37" s="464">
        <v>49014.83</v>
      </c>
      <c r="N37" s="452">
        <f t="shared" si="21"/>
        <v>-6285.1699999999983</v>
      </c>
      <c r="O37" s="222">
        <f t="shared" si="22"/>
        <v>-0.11365587703435802</v>
      </c>
      <c r="P37" s="256"/>
      <c r="Q37" s="463">
        <v>45300</v>
      </c>
      <c r="R37" s="464">
        <v>60883.47</v>
      </c>
      <c r="S37" s="452">
        <f t="shared" si="23"/>
        <v>15583.470000000001</v>
      </c>
      <c r="T37" s="223">
        <f t="shared" si="24"/>
        <v>0.34400596026490071</v>
      </c>
      <c r="U37" s="256"/>
      <c r="V37" s="450">
        <f t="shared" si="25"/>
        <v>258000</v>
      </c>
      <c r="W37" s="451">
        <f t="shared" si="26"/>
        <v>229936.34</v>
      </c>
      <c r="X37" s="452">
        <f t="shared" si="27"/>
        <v>-28063.660000000003</v>
      </c>
      <c r="Y37" s="222">
        <f t="shared" si="28"/>
        <v>-0.10877387596899227</v>
      </c>
      <c r="Z37" s="257"/>
      <c r="AA37" s="450">
        <v>217200</v>
      </c>
      <c r="AB37" s="451">
        <f t="shared" si="29"/>
        <v>-12736.339999999997</v>
      </c>
      <c r="AC37" s="222">
        <f t="shared" si="30"/>
        <v>-5.8638766114180466E-2</v>
      </c>
      <c r="AD37" s="1375"/>
      <c r="AE37" s="1250"/>
    </row>
    <row r="38" spans="1:31" x14ac:dyDescent="0.3">
      <c r="A38" s="190" t="s">
        <v>130</v>
      </c>
      <c r="B38" s="450">
        <v>210360</v>
      </c>
      <c r="C38" s="451">
        <v>217560</v>
      </c>
      <c r="D38" s="452">
        <f t="shared" si="17"/>
        <v>7200</v>
      </c>
      <c r="E38" s="220">
        <f t="shared" si="18"/>
        <v>3.4227039361095266E-2</v>
      </c>
      <c r="F38" s="191"/>
      <c r="G38" s="463">
        <v>144366</v>
      </c>
      <c r="H38" s="464">
        <v>217560</v>
      </c>
      <c r="I38" s="452">
        <f t="shared" si="19"/>
        <v>73194</v>
      </c>
      <c r="J38" s="221">
        <f t="shared" si="20"/>
        <v>0.5070030339553635</v>
      </c>
      <c r="K38" s="191"/>
      <c r="L38" s="450">
        <v>144366</v>
      </c>
      <c r="M38" s="464">
        <v>219780</v>
      </c>
      <c r="N38" s="452">
        <f t="shared" si="21"/>
        <v>75414</v>
      </c>
      <c r="O38" s="222">
        <f t="shared" si="22"/>
        <v>0.5223806159344998</v>
      </c>
      <c r="P38" s="191"/>
      <c r="Q38" s="463">
        <v>141300</v>
      </c>
      <c r="R38" s="464">
        <v>328904.7</v>
      </c>
      <c r="S38" s="452">
        <f t="shared" si="23"/>
        <v>187604.7</v>
      </c>
      <c r="T38" s="223">
        <f t="shared" si="24"/>
        <v>1.3277048832271763</v>
      </c>
      <c r="U38" s="191"/>
      <c r="V38" s="450">
        <f t="shared" si="25"/>
        <v>640392</v>
      </c>
      <c r="W38" s="451">
        <f t="shared" si="26"/>
        <v>983804.7</v>
      </c>
      <c r="X38" s="452">
        <f t="shared" si="27"/>
        <v>343412.69999999995</v>
      </c>
      <c r="Y38" s="222">
        <f t="shared" si="28"/>
        <v>0.53625388824345077</v>
      </c>
      <c r="Z38" s="188"/>
      <c r="AA38" s="450">
        <v>841440</v>
      </c>
      <c r="AB38" s="451">
        <f>AA38-W38</f>
        <v>-142364.69999999995</v>
      </c>
      <c r="AC38" s="222">
        <f t="shared" si="30"/>
        <v>-0.16919174272675408</v>
      </c>
      <c r="AD38" s="1358"/>
      <c r="AE38" s="1120"/>
    </row>
    <row r="39" spans="1:31" x14ac:dyDescent="0.3">
      <c r="A39" s="190" t="s">
        <v>129</v>
      </c>
      <c r="B39" s="450">
        <v>0</v>
      </c>
      <c r="C39" s="451">
        <v>0</v>
      </c>
      <c r="D39" s="452">
        <f t="shared" si="17"/>
        <v>0</v>
      </c>
      <c r="E39" s="220" t="str">
        <f t="shared" si="18"/>
        <v>-</v>
      </c>
      <c r="F39" s="191"/>
      <c r="G39" s="463">
        <v>0</v>
      </c>
      <c r="H39" s="464">
        <v>0</v>
      </c>
      <c r="I39" s="452">
        <f t="shared" si="19"/>
        <v>0</v>
      </c>
      <c r="J39" s="221" t="str">
        <f t="shared" si="20"/>
        <v>-</v>
      </c>
      <c r="K39" s="191"/>
      <c r="L39" s="450">
        <v>0</v>
      </c>
      <c r="M39" s="464">
        <v>0</v>
      </c>
      <c r="N39" s="452">
        <f t="shared" si="21"/>
        <v>0</v>
      </c>
      <c r="O39" s="222" t="str">
        <f t="shared" si="22"/>
        <v>-</v>
      </c>
      <c r="P39" s="191"/>
      <c r="Q39" s="463">
        <v>0</v>
      </c>
      <c r="R39" s="464">
        <v>7969.37</v>
      </c>
      <c r="S39" s="452">
        <f t="shared" si="23"/>
        <v>7969.37</v>
      </c>
      <c r="T39" s="223" t="str">
        <f t="shared" si="24"/>
        <v>-</v>
      </c>
      <c r="U39" s="191"/>
      <c r="V39" s="450">
        <f t="shared" si="25"/>
        <v>0</v>
      </c>
      <c r="W39" s="451">
        <f t="shared" si="26"/>
        <v>7969.37</v>
      </c>
      <c r="X39" s="452">
        <f t="shared" si="27"/>
        <v>7969.37</v>
      </c>
      <c r="Y39" s="222" t="str">
        <f t="shared" si="28"/>
        <v>-</v>
      </c>
      <c r="Z39" s="188"/>
      <c r="AA39" s="450">
        <v>0</v>
      </c>
      <c r="AB39" s="451">
        <f t="shared" si="29"/>
        <v>-7969.37</v>
      </c>
      <c r="AC39" s="222" t="str">
        <f t="shared" si="30"/>
        <v>-</v>
      </c>
      <c r="AD39" s="1358"/>
      <c r="AE39" s="1120"/>
    </row>
    <row r="40" spans="1:31" x14ac:dyDescent="0.3">
      <c r="A40" s="258" t="s">
        <v>40</v>
      </c>
      <c r="B40" s="450">
        <v>28207</v>
      </c>
      <c r="C40" s="451">
        <v>0</v>
      </c>
      <c r="D40" s="452">
        <f t="shared" si="17"/>
        <v>-28207</v>
      </c>
      <c r="E40" s="259">
        <f t="shared" si="18"/>
        <v>-1</v>
      </c>
      <c r="F40" s="184"/>
      <c r="G40" s="463">
        <v>0</v>
      </c>
      <c r="H40" s="464">
        <v>0</v>
      </c>
      <c r="I40" s="452">
        <f t="shared" si="19"/>
        <v>0</v>
      </c>
      <c r="J40" s="260" t="str">
        <f t="shared" si="20"/>
        <v>-</v>
      </c>
      <c r="K40" s="184"/>
      <c r="L40" s="450">
        <v>0</v>
      </c>
      <c r="M40" s="464">
        <v>0</v>
      </c>
      <c r="N40" s="452">
        <f t="shared" si="21"/>
        <v>0</v>
      </c>
      <c r="O40" s="261" t="str">
        <f t="shared" si="22"/>
        <v>-</v>
      </c>
      <c r="P40" s="184"/>
      <c r="Q40" s="463">
        <v>0</v>
      </c>
      <c r="R40" s="464">
        <v>0</v>
      </c>
      <c r="S40" s="452">
        <f t="shared" si="23"/>
        <v>0</v>
      </c>
      <c r="T40" s="234" t="str">
        <f t="shared" si="24"/>
        <v>-</v>
      </c>
      <c r="U40" s="184"/>
      <c r="V40" s="477">
        <f t="shared" si="25"/>
        <v>28207</v>
      </c>
      <c r="W40" s="478">
        <f t="shared" si="26"/>
        <v>0</v>
      </c>
      <c r="X40" s="452">
        <f t="shared" si="27"/>
        <v>-28207</v>
      </c>
      <c r="Y40" s="261">
        <f t="shared" si="28"/>
        <v>-1</v>
      </c>
      <c r="Z40" s="188"/>
      <c r="AA40" s="477">
        <v>112828</v>
      </c>
      <c r="AB40" s="478">
        <f t="shared" si="29"/>
        <v>112828</v>
      </c>
      <c r="AC40" s="222">
        <f t="shared" si="30"/>
        <v>1</v>
      </c>
      <c r="AD40" s="1285"/>
      <c r="AE40" s="1120"/>
    </row>
    <row r="41" spans="1:31" x14ac:dyDescent="0.3">
      <c r="A41" s="199" t="s">
        <v>83</v>
      </c>
      <c r="B41" s="469">
        <f>SUM(B33:B40)</f>
        <v>3087644</v>
      </c>
      <c r="C41" s="470">
        <f>SUM(C33:C40)</f>
        <v>2510277</v>
      </c>
      <c r="D41" s="470">
        <f>SUM(D33:D40)</f>
        <v>-577367</v>
      </c>
      <c r="E41" s="237">
        <f>IF(ISERROR(D41/B41),"-",D41/B41)</f>
        <v>-0.18699273620922618</v>
      </c>
      <c r="F41" s="191"/>
      <c r="G41" s="469">
        <f>SUM(G33:G40)</f>
        <v>2973717</v>
      </c>
      <c r="H41" s="470">
        <f>SUM(H33:H40)</f>
        <v>2564481.63</v>
      </c>
      <c r="I41" s="470">
        <f>SUM(I33:I40)</f>
        <v>-409235.37000000011</v>
      </c>
      <c r="J41" s="237">
        <f t="shared" si="20"/>
        <v>-0.13761745653671822</v>
      </c>
      <c r="K41" s="191"/>
      <c r="L41" s="469">
        <f>SUM(L33:L40)</f>
        <v>2973717</v>
      </c>
      <c r="M41" s="470">
        <f>SUM(M33:M40)</f>
        <v>2564718.75</v>
      </c>
      <c r="N41" s="470">
        <f>SUM(N33:N40)</f>
        <v>-408998.24999999994</v>
      </c>
      <c r="O41" s="238">
        <f t="shared" si="22"/>
        <v>-0.13753771794693306</v>
      </c>
      <c r="P41" s="191"/>
      <c r="Q41" s="469">
        <f>SUM(Q33:Q40)</f>
        <v>3013509.054</v>
      </c>
      <c r="R41" s="470">
        <f>SUM(R33:R40)</f>
        <v>2791243.7500000005</v>
      </c>
      <c r="S41" s="470">
        <f>SUM(S33:S40)</f>
        <v>-222265.30399999995</v>
      </c>
      <c r="T41" s="238">
        <f t="shared" si="24"/>
        <v>-7.3756308681062269E-2</v>
      </c>
      <c r="U41" s="191"/>
      <c r="V41" s="469">
        <f>SUM(V33:V40)</f>
        <v>12048587.054</v>
      </c>
      <c r="W41" s="470">
        <f>SUM(W33:W40)</f>
        <v>10430721.130000001</v>
      </c>
      <c r="X41" s="470">
        <f>SUM(X33:X40)</f>
        <v>-1617865.9240000003</v>
      </c>
      <c r="Y41" s="238">
        <f t="shared" si="28"/>
        <v>-0.13427847736410606</v>
      </c>
      <c r="Z41" s="188"/>
      <c r="AA41" s="471">
        <f>SUM(AA33:AA40)</f>
        <v>11760790</v>
      </c>
      <c r="AB41" s="472">
        <f>SUM(AB33:AB40)</f>
        <v>1330068.8699999996</v>
      </c>
      <c r="AC41" s="264">
        <f t="shared" ref="AC41" si="31">IF(ISERROR(AB41/AA41),"-",AB41/AA41)</f>
        <v>0.11309349712051653</v>
      </c>
      <c r="AD41" s="1358"/>
      <c r="AE41" s="1373"/>
    </row>
    <row r="42" spans="1:31" x14ac:dyDescent="0.3">
      <c r="A42" s="242"/>
      <c r="B42" s="459"/>
      <c r="C42" s="460"/>
      <c r="D42" s="460"/>
      <c r="E42" s="213"/>
      <c r="F42" s="184"/>
      <c r="G42" s="461"/>
      <c r="H42" s="462"/>
      <c r="I42" s="462"/>
      <c r="J42" s="216"/>
      <c r="K42" s="184"/>
      <c r="L42" s="459"/>
      <c r="M42" s="460"/>
      <c r="N42" s="460"/>
      <c r="O42" s="217"/>
      <c r="P42" s="184"/>
      <c r="Q42" s="461"/>
      <c r="R42" s="462"/>
      <c r="S42" s="462"/>
      <c r="T42" s="265"/>
      <c r="U42" s="184"/>
      <c r="V42" s="459"/>
      <c r="W42" s="460"/>
      <c r="X42" s="460"/>
      <c r="Y42" s="217"/>
      <c r="Z42" s="188"/>
      <c r="AA42" s="459"/>
      <c r="AB42" s="460"/>
      <c r="AC42" s="217"/>
      <c r="AD42" s="1285"/>
      <c r="AE42" s="1119"/>
    </row>
    <row r="43" spans="1:31" x14ac:dyDescent="0.3">
      <c r="A43" s="172" t="s">
        <v>84</v>
      </c>
      <c r="B43" s="481"/>
      <c r="C43" s="482"/>
      <c r="D43" s="482"/>
      <c r="E43" s="268"/>
      <c r="F43" s="175"/>
      <c r="G43" s="483"/>
      <c r="H43" s="484"/>
      <c r="I43" s="484"/>
      <c r="J43" s="271"/>
      <c r="K43" s="175"/>
      <c r="L43" s="481"/>
      <c r="M43" s="482"/>
      <c r="N43" s="482"/>
      <c r="O43" s="272"/>
      <c r="P43" s="175"/>
      <c r="Q43" s="483"/>
      <c r="R43" s="484"/>
      <c r="S43" s="484"/>
      <c r="T43" s="273"/>
      <c r="U43" s="175"/>
      <c r="V43" s="481"/>
      <c r="W43" s="482"/>
      <c r="X43" s="451"/>
      <c r="Y43" s="225"/>
      <c r="Z43" s="179"/>
      <c r="AA43" s="481"/>
      <c r="AB43" s="451"/>
      <c r="AC43" s="225"/>
      <c r="AD43" s="1284"/>
      <c r="AE43" s="1119"/>
    </row>
    <row r="44" spans="1:31" x14ac:dyDescent="0.3">
      <c r="A44" s="190" t="s">
        <v>85</v>
      </c>
      <c r="B44" s="450">
        <v>6364</v>
      </c>
      <c r="C44" s="464">
        <v>1277.43</v>
      </c>
      <c r="D44" s="452">
        <f>C44-B44</f>
        <v>-5086.57</v>
      </c>
      <c r="E44" s="220">
        <f t="shared" ref="E44:E76" si="32">IF(ISERROR(D44/B44),"-",D44/B44)</f>
        <v>-0.79927247014456315</v>
      </c>
      <c r="F44" s="191"/>
      <c r="G44" s="463">
        <v>6364</v>
      </c>
      <c r="H44" s="464">
        <v>1201.3900000000001</v>
      </c>
      <c r="I44" s="452">
        <f>H44-G44</f>
        <v>-5162.6099999999997</v>
      </c>
      <c r="J44" s="221">
        <f t="shared" ref="J44:J75" si="33">IF(ISERROR(I44/G44),"-",I44/G44)</f>
        <v>-0.81122093023255804</v>
      </c>
      <c r="K44" s="191"/>
      <c r="L44" s="450">
        <v>6364</v>
      </c>
      <c r="M44" s="464">
        <v>240</v>
      </c>
      <c r="N44" s="452">
        <f t="shared" ref="N44:N75" si="34">M44-L44</f>
        <v>-6124</v>
      </c>
      <c r="O44" s="222">
        <f t="shared" ref="O44:O75" si="35">IF(ISERROR(N44/L44),"-",N44/L44)</f>
        <v>-0.9622878692646134</v>
      </c>
      <c r="P44" s="191"/>
      <c r="Q44" s="463">
        <v>6364</v>
      </c>
      <c r="R44" s="464">
        <v>3324.66</v>
      </c>
      <c r="S44" s="452">
        <f t="shared" ref="S44:S75" si="36">R44-Q44</f>
        <v>-3039.34</v>
      </c>
      <c r="T44" s="223">
        <f t="shared" ref="T44:T72" si="37">IF(ISERROR(S44/Q44),"-",S44/Q44)</f>
        <v>-0.477583280955374</v>
      </c>
      <c r="U44" s="191"/>
      <c r="V44" s="450">
        <f>B44+G44+L44+Q44</f>
        <v>25456</v>
      </c>
      <c r="W44" s="451">
        <f>C44+H44+M44+R44</f>
        <v>6043.48</v>
      </c>
      <c r="X44" s="452">
        <f>W44-V44</f>
        <v>-19412.52</v>
      </c>
      <c r="Y44" s="222">
        <f t="shared" ref="Y44:Y76" si="38">IF(ISERROR(X44/V44),"-",X44/V44)</f>
        <v>-0.76259113764927722</v>
      </c>
      <c r="Z44" s="188"/>
      <c r="AA44" s="450">
        <v>15334</v>
      </c>
      <c r="AB44" s="451">
        <f>AA44-W44</f>
        <v>9290.52</v>
      </c>
      <c r="AC44" s="222">
        <f t="shared" ref="AC44:AC76" si="39">IF(ISERROR(AB44/AA44),"-",AB44/AA44)</f>
        <v>0.60587713577670543</v>
      </c>
      <c r="AD44" s="1358"/>
      <c r="AE44" s="1140"/>
    </row>
    <row r="45" spans="1:31" x14ac:dyDescent="0.3">
      <c r="A45" s="190" t="s">
        <v>128</v>
      </c>
      <c r="B45" s="450">
        <v>30000</v>
      </c>
      <c r="C45" s="464">
        <v>0</v>
      </c>
      <c r="D45" s="452">
        <f t="shared" ref="D45:D75" si="40">C45-B45</f>
        <v>-30000</v>
      </c>
      <c r="E45" s="220">
        <f t="shared" si="32"/>
        <v>-1</v>
      </c>
      <c r="F45" s="256"/>
      <c r="G45" s="463">
        <v>0</v>
      </c>
      <c r="H45" s="464">
        <v>420.4</v>
      </c>
      <c r="I45" s="452">
        <f t="shared" ref="I45:I75" si="41">H45-G45</f>
        <v>420.4</v>
      </c>
      <c r="J45" s="221" t="str">
        <f t="shared" si="33"/>
        <v>-</v>
      </c>
      <c r="K45" s="256"/>
      <c r="L45" s="450">
        <v>0</v>
      </c>
      <c r="M45" s="464">
        <v>0</v>
      </c>
      <c r="N45" s="452">
        <f t="shared" si="34"/>
        <v>0</v>
      </c>
      <c r="O45" s="222" t="str">
        <f t="shared" si="35"/>
        <v>-</v>
      </c>
      <c r="P45" s="256"/>
      <c r="Q45" s="463">
        <v>0</v>
      </c>
      <c r="R45" s="464">
        <v>16378.8</v>
      </c>
      <c r="S45" s="452">
        <f t="shared" si="36"/>
        <v>16378.8</v>
      </c>
      <c r="T45" s="223" t="str">
        <f t="shared" si="37"/>
        <v>-</v>
      </c>
      <c r="U45" s="256"/>
      <c r="V45" s="450">
        <f>B45+G45+L45+Q45</f>
        <v>30000</v>
      </c>
      <c r="W45" s="451">
        <f>C45+H45+M45+R45</f>
        <v>16799.2</v>
      </c>
      <c r="X45" s="452">
        <f t="shared" ref="X45:X75" si="42">W45-V45</f>
        <v>-13200.8</v>
      </c>
      <c r="Y45" s="222">
        <f t="shared" si="38"/>
        <v>-0.44002666666666662</v>
      </c>
      <c r="Z45" s="257"/>
      <c r="AA45" s="450">
        <v>220000</v>
      </c>
      <c r="AB45" s="451">
        <f t="shared" ref="AB45:AB75" si="43">AA45-W45</f>
        <v>203200.8</v>
      </c>
      <c r="AC45" s="222">
        <f t="shared" si="39"/>
        <v>0.92363999999999991</v>
      </c>
      <c r="AD45" s="1375"/>
      <c r="AE45" s="1119"/>
    </row>
    <row r="46" spans="1:31" x14ac:dyDescent="0.3">
      <c r="A46" s="190" t="s">
        <v>127</v>
      </c>
      <c r="B46" s="450">
        <v>0</v>
      </c>
      <c r="C46" s="464">
        <v>0</v>
      </c>
      <c r="D46" s="452">
        <f t="shared" si="40"/>
        <v>0</v>
      </c>
      <c r="E46" s="220" t="str">
        <f t="shared" si="32"/>
        <v>-</v>
      </c>
      <c r="F46" s="256"/>
      <c r="G46" s="463">
        <v>0</v>
      </c>
      <c r="H46" s="464">
        <v>0</v>
      </c>
      <c r="I46" s="452">
        <f t="shared" si="41"/>
        <v>0</v>
      </c>
      <c r="J46" s="221" t="str">
        <f t="shared" si="33"/>
        <v>-</v>
      </c>
      <c r="K46" s="256"/>
      <c r="L46" s="450">
        <v>0</v>
      </c>
      <c r="M46" s="464">
        <v>0</v>
      </c>
      <c r="N46" s="452">
        <f t="shared" si="34"/>
        <v>0</v>
      </c>
      <c r="O46" s="222" t="str">
        <f t="shared" si="35"/>
        <v>-</v>
      </c>
      <c r="P46" s="256"/>
      <c r="Q46" s="463">
        <v>0</v>
      </c>
      <c r="R46" s="464">
        <v>0</v>
      </c>
      <c r="S46" s="452">
        <f t="shared" si="36"/>
        <v>0</v>
      </c>
      <c r="T46" s="223" t="str">
        <f t="shared" si="37"/>
        <v>-</v>
      </c>
      <c r="U46" s="256"/>
      <c r="V46" s="450">
        <f t="shared" ref="V46:V75" si="44">B46+G46+L46+Q46</f>
        <v>0</v>
      </c>
      <c r="W46" s="451">
        <f t="shared" ref="W46:W75" si="45">C46+H46+M46+R46</f>
        <v>0</v>
      </c>
      <c r="X46" s="452">
        <f t="shared" si="42"/>
        <v>0</v>
      </c>
      <c r="Y46" s="222" t="str">
        <f t="shared" si="38"/>
        <v>-</v>
      </c>
      <c r="Z46" s="257"/>
      <c r="AA46" s="450">
        <v>0</v>
      </c>
      <c r="AB46" s="451">
        <f t="shared" si="43"/>
        <v>0</v>
      </c>
      <c r="AC46" s="222" t="str">
        <f t="shared" si="39"/>
        <v>-</v>
      </c>
      <c r="AD46" s="1375"/>
      <c r="AE46" s="1119"/>
    </row>
    <row r="47" spans="1:31" x14ac:dyDescent="0.3">
      <c r="A47" s="190" t="s">
        <v>86</v>
      </c>
      <c r="B47" s="450">
        <v>15000</v>
      </c>
      <c r="C47" s="464">
        <v>0</v>
      </c>
      <c r="D47" s="452">
        <f t="shared" si="40"/>
        <v>-15000</v>
      </c>
      <c r="E47" s="220">
        <f t="shared" si="32"/>
        <v>-1</v>
      </c>
      <c r="F47" s="256"/>
      <c r="G47" s="463">
        <v>15000</v>
      </c>
      <c r="H47" s="464">
        <v>0</v>
      </c>
      <c r="I47" s="452">
        <f t="shared" si="41"/>
        <v>-15000</v>
      </c>
      <c r="J47" s="221">
        <f t="shared" si="33"/>
        <v>-1</v>
      </c>
      <c r="K47" s="256"/>
      <c r="L47" s="450">
        <v>0</v>
      </c>
      <c r="M47" s="464">
        <v>0</v>
      </c>
      <c r="N47" s="452">
        <f t="shared" si="34"/>
        <v>0</v>
      </c>
      <c r="O47" s="222" t="str">
        <f t="shared" si="35"/>
        <v>-</v>
      </c>
      <c r="P47" s="256"/>
      <c r="Q47" s="463">
        <v>0</v>
      </c>
      <c r="R47" s="464">
        <v>0</v>
      </c>
      <c r="S47" s="452">
        <f t="shared" si="36"/>
        <v>0</v>
      </c>
      <c r="T47" s="223" t="str">
        <f t="shared" si="37"/>
        <v>-</v>
      </c>
      <c r="U47" s="256"/>
      <c r="V47" s="450">
        <f t="shared" si="44"/>
        <v>30000</v>
      </c>
      <c r="W47" s="451">
        <f t="shared" si="45"/>
        <v>0</v>
      </c>
      <c r="X47" s="452">
        <f t="shared" si="42"/>
        <v>-30000</v>
      </c>
      <c r="Y47" s="222">
        <f t="shared" si="38"/>
        <v>-1</v>
      </c>
      <c r="Z47" s="257"/>
      <c r="AA47" s="450">
        <v>12000</v>
      </c>
      <c r="AB47" s="451">
        <f t="shared" si="43"/>
        <v>12000</v>
      </c>
      <c r="AC47" s="222">
        <f t="shared" si="39"/>
        <v>1</v>
      </c>
      <c r="AD47" s="1375"/>
      <c r="AE47" s="1140"/>
    </row>
    <row r="48" spans="1:31" x14ac:dyDescent="0.3">
      <c r="A48" s="190" t="s">
        <v>87</v>
      </c>
      <c r="B48" s="450">
        <v>44600</v>
      </c>
      <c r="C48" s="464">
        <v>268.94</v>
      </c>
      <c r="D48" s="452">
        <f t="shared" si="40"/>
        <v>-44331.06</v>
      </c>
      <c r="E48" s="220">
        <f t="shared" si="32"/>
        <v>-0.99396995515695064</v>
      </c>
      <c r="F48" s="256"/>
      <c r="G48" s="463">
        <v>0</v>
      </c>
      <c r="H48" s="464">
        <v>1998.82</v>
      </c>
      <c r="I48" s="452">
        <f t="shared" si="41"/>
        <v>1998.82</v>
      </c>
      <c r="J48" s="221" t="str">
        <f t="shared" si="33"/>
        <v>-</v>
      </c>
      <c r="K48" s="256"/>
      <c r="L48" s="450">
        <v>0</v>
      </c>
      <c r="M48" s="464">
        <v>670</v>
      </c>
      <c r="N48" s="452">
        <f t="shared" si="34"/>
        <v>670</v>
      </c>
      <c r="O48" s="222" t="str">
        <f t="shared" si="35"/>
        <v>-</v>
      </c>
      <c r="P48" s="256"/>
      <c r="Q48" s="463">
        <v>0</v>
      </c>
      <c r="R48" s="464">
        <v>0</v>
      </c>
      <c r="S48" s="452">
        <f t="shared" si="36"/>
        <v>0</v>
      </c>
      <c r="T48" s="223" t="str">
        <f t="shared" si="37"/>
        <v>-</v>
      </c>
      <c r="U48" s="256"/>
      <c r="V48" s="450">
        <f t="shared" si="44"/>
        <v>44600</v>
      </c>
      <c r="W48" s="451">
        <f t="shared" si="45"/>
        <v>2937.7599999999998</v>
      </c>
      <c r="X48" s="452">
        <f t="shared" si="42"/>
        <v>-41662.239999999998</v>
      </c>
      <c r="Y48" s="222">
        <f t="shared" si="38"/>
        <v>-0.93413094170403588</v>
      </c>
      <c r="Z48" s="257"/>
      <c r="AA48" s="450">
        <v>0</v>
      </c>
      <c r="AB48" s="451">
        <f t="shared" si="43"/>
        <v>-2937.7599999999998</v>
      </c>
      <c r="AC48" s="222" t="str">
        <f t="shared" si="39"/>
        <v>-</v>
      </c>
      <c r="AD48" s="1375"/>
      <c r="AE48" s="1119"/>
    </row>
    <row r="49" spans="1:31" x14ac:dyDescent="0.3">
      <c r="A49" s="190" t="s">
        <v>88</v>
      </c>
      <c r="B49" s="450">
        <v>27126</v>
      </c>
      <c r="C49" s="464">
        <v>23001.57</v>
      </c>
      <c r="D49" s="452">
        <f t="shared" si="40"/>
        <v>-4124.43</v>
      </c>
      <c r="E49" s="220">
        <f t="shared" si="32"/>
        <v>-0.15204711347047115</v>
      </c>
      <c r="F49" s="191"/>
      <c r="G49" s="463">
        <v>27135</v>
      </c>
      <c r="H49" s="464">
        <v>14674.12</v>
      </c>
      <c r="I49" s="452">
        <f t="shared" si="41"/>
        <v>-12460.88</v>
      </c>
      <c r="J49" s="221">
        <f t="shared" si="33"/>
        <v>-0.4592179841533075</v>
      </c>
      <c r="K49" s="191"/>
      <c r="L49" s="450">
        <v>27153</v>
      </c>
      <c r="M49" s="464">
        <v>12682.52</v>
      </c>
      <c r="N49" s="452">
        <f t="shared" si="34"/>
        <v>-14470.48</v>
      </c>
      <c r="O49" s="222">
        <f t="shared" si="35"/>
        <v>-0.53292380215814084</v>
      </c>
      <c r="P49" s="191"/>
      <c r="Q49" s="463">
        <v>27153</v>
      </c>
      <c r="R49" s="464">
        <v>11335.23</v>
      </c>
      <c r="S49" s="452">
        <f t="shared" si="36"/>
        <v>-15817.77</v>
      </c>
      <c r="T49" s="223">
        <f t="shared" si="37"/>
        <v>-0.58254226052369906</v>
      </c>
      <c r="U49" s="191"/>
      <c r="V49" s="450">
        <f t="shared" si="44"/>
        <v>108567</v>
      </c>
      <c r="W49" s="451">
        <f t="shared" si="45"/>
        <v>61693.440000000002</v>
      </c>
      <c r="X49" s="452">
        <f t="shared" si="42"/>
        <v>-46873.56</v>
      </c>
      <c r="Y49" s="222">
        <f t="shared" si="38"/>
        <v>-0.43174776865898473</v>
      </c>
      <c r="Z49" s="188"/>
      <c r="AA49" s="450">
        <v>103757</v>
      </c>
      <c r="AB49" s="451">
        <f t="shared" si="43"/>
        <v>42063.56</v>
      </c>
      <c r="AC49" s="222">
        <f t="shared" si="39"/>
        <v>0.40540455101824452</v>
      </c>
      <c r="AD49" s="1358"/>
      <c r="AE49" s="1140"/>
    </row>
    <row r="50" spans="1:31" x14ac:dyDescent="0.3">
      <c r="A50" s="190" t="s">
        <v>89</v>
      </c>
      <c r="B50" s="450">
        <v>82000</v>
      </c>
      <c r="C50" s="464">
        <v>1088.72</v>
      </c>
      <c r="D50" s="452">
        <f t="shared" si="40"/>
        <v>-80911.28</v>
      </c>
      <c r="E50" s="220">
        <f t="shared" si="32"/>
        <v>-0.98672292682926832</v>
      </c>
      <c r="F50" s="191"/>
      <c r="G50" s="463">
        <v>0</v>
      </c>
      <c r="H50" s="464">
        <v>420.4</v>
      </c>
      <c r="I50" s="452">
        <f t="shared" si="41"/>
        <v>420.4</v>
      </c>
      <c r="J50" s="221" t="str">
        <f t="shared" si="33"/>
        <v>-</v>
      </c>
      <c r="K50" s="191"/>
      <c r="L50" s="450">
        <v>0</v>
      </c>
      <c r="M50" s="464">
        <v>0</v>
      </c>
      <c r="N50" s="452">
        <f t="shared" si="34"/>
        <v>0</v>
      </c>
      <c r="O50" s="222" t="str">
        <f t="shared" si="35"/>
        <v>-</v>
      </c>
      <c r="P50" s="191"/>
      <c r="Q50" s="463">
        <v>0</v>
      </c>
      <c r="R50" s="464">
        <v>0</v>
      </c>
      <c r="S50" s="452">
        <f t="shared" si="36"/>
        <v>0</v>
      </c>
      <c r="T50" s="223" t="str">
        <f t="shared" si="37"/>
        <v>-</v>
      </c>
      <c r="U50" s="191"/>
      <c r="V50" s="450">
        <f t="shared" si="44"/>
        <v>82000</v>
      </c>
      <c r="W50" s="451">
        <f t="shared" si="45"/>
        <v>1509.12</v>
      </c>
      <c r="X50" s="452">
        <f t="shared" si="42"/>
        <v>-80490.880000000005</v>
      </c>
      <c r="Y50" s="222">
        <f t="shared" si="38"/>
        <v>-0.98159609756097566</v>
      </c>
      <c r="Z50" s="188"/>
      <c r="AA50" s="450">
        <v>0</v>
      </c>
      <c r="AB50" s="451">
        <f t="shared" si="43"/>
        <v>-1509.12</v>
      </c>
      <c r="AC50" s="222" t="str">
        <f t="shared" si="39"/>
        <v>-</v>
      </c>
      <c r="AD50" s="1358"/>
      <c r="AE50" s="1140"/>
    </row>
    <row r="51" spans="1:31" x14ac:dyDescent="0.3">
      <c r="A51" s="190" t="s">
        <v>113</v>
      </c>
      <c r="B51" s="450">
        <v>3000</v>
      </c>
      <c r="C51" s="464">
        <v>8929.4</v>
      </c>
      <c r="D51" s="452">
        <f t="shared" si="40"/>
        <v>5929.4</v>
      </c>
      <c r="E51" s="220"/>
      <c r="F51" s="191"/>
      <c r="G51" s="463">
        <v>0</v>
      </c>
      <c r="H51" s="464">
        <v>0</v>
      </c>
      <c r="I51" s="452">
        <f t="shared" si="41"/>
        <v>0</v>
      </c>
      <c r="J51" s="221" t="str">
        <f t="shared" si="33"/>
        <v>-</v>
      </c>
      <c r="K51" s="191"/>
      <c r="L51" s="450">
        <v>3000</v>
      </c>
      <c r="M51" s="464">
        <v>0</v>
      </c>
      <c r="N51" s="452">
        <f t="shared" si="34"/>
        <v>-3000</v>
      </c>
      <c r="O51" s="222">
        <f t="shared" si="35"/>
        <v>-1</v>
      </c>
      <c r="P51" s="191"/>
      <c r="Q51" s="463">
        <v>181000</v>
      </c>
      <c r="R51" s="464">
        <v>0</v>
      </c>
      <c r="S51" s="452">
        <f t="shared" si="36"/>
        <v>-181000</v>
      </c>
      <c r="T51" s="223"/>
      <c r="U51" s="191"/>
      <c r="V51" s="450">
        <f t="shared" si="44"/>
        <v>187000</v>
      </c>
      <c r="W51" s="451">
        <f t="shared" si="45"/>
        <v>8929.4</v>
      </c>
      <c r="X51" s="452">
        <f t="shared" si="42"/>
        <v>-178070.6</v>
      </c>
      <c r="Y51" s="222"/>
      <c r="Z51" s="188"/>
      <c r="AA51" s="450">
        <v>0</v>
      </c>
      <c r="AB51" s="451">
        <f t="shared" si="43"/>
        <v>-8929.4</v>
      </c>
      <c r="AC51" s="222"/>
      <c r="AD51" s="1358"/>
      <c r="AE51" s="1140"/>
    </row>
    <row r="52" spans="1:31" x14ac:dyDescent="0.3">
      <c r="A52" s="190" t="s">
        <v>126</v>
      </c>
      <c r="B52" s="450">
        <v>0</v>
      </c>
      <c r="C52" s="464">
        <v>0</v>
      </c>
      <c r="D52" s="452">
        <f t="shared" si="40"/>
        <v>0</v>
      </c>
      <c r="E52" s="220" t="str">
        <f t="shared" si="32"/>
        <v>-</v>
      </c>
      <c r="F52" s="256"/>
      <c r="G52" s="463">
        <v>0</v>
      </c>
      <c r="H52" s="464">
        <v>0</v>
      </c>
      <c r="I52" s="452">
        <f t="shared" si="41"/>
        <v>0</v>
      </c>
      <c r="J52" s="221" t="str">
        <f t="shared" si="33"/>
        <v>-</v>
      </c>
      <c r="K52" s="256"/>
      <c r="L52" s="450">
        <v>0</v>
      </c>
      <c r="M52" s="464">
        <v>0</v>
      </c>
      <c r="N52" s="452">
        <f t="shared" si="34"/>
        <v>0</v>
      </c>
      <c r="O52" s="222" t="str">
        <f t="shared" si="35"/>
        <v>-</v>
      </c>
      <c r="P52" s="256"/>
      <c r="Q52" s="463">
        <v>0</v>
      </c>
      <c r="R52" s="464">
        <v>0</v>
      </c>
      <c r="S52" s="452">
        <f t="shared" si="36"/>
        <v>0</v>
      </c>
      <c r="T52" s="223" t="str">
        <f t="shared" si="37"/>
        <v>-</v>
      </c>
      <c r="U52" s="256"/>
      <c r="V52" s="450">
        <f t="shared" si="44"/>
        <v>0</v>
      </c>
      <c r="W52" s="451">
        <f t="shared" si="45"/>
        <v>0</v>
      </c>
      <c r="X52" s="452">
        <f t="shared" si="42"/>
        <v>0</v>
      </c>
      <c r="Y52" s="222" t="str">
        <f t="shared" si="38"/>
        <v>-</v>
      </c>
      <c r="Z52" s="257"/>
      <c r="AA52" s="450">
        <v>0</v>
      </c>
      <c r="AB52" s="451">
        <f t="shared" si="43"/>
        <v>0</v>
      </c>
      <c r="AC52" s="222" t="str">
        <f t="shared" si="39"/>
        <v>-</v>
      </c>
      <c r="AD52" s="1375"/>
      <c r="AE52" s="1119"/>
    </row>
    <row r="53" spans="1:31" x14ac:dyDescent="0.3">
      <c r="A53" s="190" t="s">
        <v>82</v>
      </c>
      <c r="B53" s="450">
        <v>27450</v>
      </c>
      <c r="C53" s="464">
        <v>24825</v>
      </c>
      <c r="D53" s="452">
        <f t="shared" si="40"/>
        <v>-2625</v>
      </c>
      <c r="E53" s="220">
        <f t="shared" si="32"/>
        <v>-9.5628415300546443E-2</v>
      </c>
      <c r="F53" s="256"/>
      <c r="G53" s="463">
        <v>27450</v>
      </c>
      <c r="H53" s="464">
        <v>16550</v>
      </c>
      <c r="I53" s="452">
        <f t="shared" si="41"/>
        <v>-10900</v>
      </c>
      <c r="J53" s="221">
        <f t="shared" si="33"/>
        <v>-0.39708561020036431</v>
      </c>
      <c r="K53" s="256"/>
      <c r="L53" s="450">
        <v>27450</v>
      </c>
      <c r="M53" s="464">
        <v>24825</v>
      </c>
      <c r="N53" s="452">
        <f t="shared" si="34"/>
        <v>-2625</v>
      </c>
      <c r="O53" s="222">
        <f t="shared" si="35"/>
        <v>-9.5628415300546443E-2</v>
      </c>
      <c r="P53" s="256"/>
      <c r="Q53" s="463">
        <v>27450</v>
      </c>
      <c r="R53" s="464">
        <v>24825</v>
      </c>
      <c r="S53" s="452">
        <f t="shared" si="36"/>
        <v>-2625</v>
      </c>
      <c r="T53" s="223">
        <f t="shared" si="37"/>
        <v>-9.5628415300546443E-2</v>
      </c>
      <c r="U53" s="256"/>
      <c r="V53" s="450">
        <f t="shared" si="44"/>
        <v>109800</v>
      </c>
      <c r="W53" s="451">
        <f t="shared" si="45"/>
        <v>91025</v>
      </c>
      <c r="X53" s="452">
        <f t="shared" si="42"/>
        <v>-18775</v>
      </c>
      <c r="Y53" s="222">
        <f t="shared" si="38"/>
        <v>-0.1709927140255009</v>
      </c>
      <c r="Z53" s="257"/>
      <c r="AA53" s="450">
        <v>114600</v>
      </c>
      <c r="AB53" s="451">
        <f t="shared" si="43"/>
        <v>23575</v>
      </c>
      <c r="AC53" s="222">
        <f t="shared" si="39"/>
        <v>0.20571553228621292</v>
      </c>
      <c r="AD53" s="1375"/>
      <c r="AE53" s="1120"/>
    </row>
    <row r="54" spans="1:31" x14ac:dyDescent="0.3">
      <c r="A54" s="190" t="s">
        <v>125</v>
      </c>
      <c r="B54" s="450">
        <v>0</v>
      </c>
      <c r="C54" s="464">
        <v>0</v>
      </c>
      <c r="D54" s="452">
        <f t="shared" si="40"/>
        <v>0</v>
      </c>
      <c r="E54" s="220"/>
      <c r="F54" s="256"/>
      <c r="G54" s="463">
        <v>0</v>
      </c>
      <c r="H54" s="464">
        <v>0</v>
      </c>
      <c r="I54" s="452">
        <f t="shared" si="41"/>
        <v>0</v>
      </c>
      <c r="J54" s="221" t="str">
        <f t="shared" si="33"/>
        <v>-</v>
      </c>
      <c r="K54" s="256"/>
      <c r="L54" s="450">
        <v>0</v>
      </c>
      <c r="M54" s="464">
        <v>0</v>
      </c>
      <c r="N54" s="452">
        <f t="shared" si="34"/>
        <v>0</v>
      </c>
      <c r="O54" s="222" t="str">
        <f t="shared" si="35"/>
        <v>-</v>
      </c>
      <c r="P54" s="256"/>
      <c r="Q54" s="463">
        <v>0</v>
      </c>
      <c r="R54" s="464">
        <v>0</v>
      </c>
      <c r="S54" s="452">
        <f t="shared" si="36"/>
        <v>0</v>
      </c>
      <c r="T54" s="223"/>
      <c r="U54" s="256"/>
      <c r="V54" s="450">
        <f t="shared" si="44"/>
        <v>0</v>
      </c>
      <c r="W54" s="451">
        <f t="shared" si="45"/>
        <v>0</v>
      </c>
      <c r="X54" s="452">
        <f t="shared" si="42"/>
        <v>0</v>
      </c>
      <c r="Y54" s="222"/>
      <c r="Z54" s="257"/>
      <c r="AA54" s="450">
        <v>0</v>
      </c>
      <c r="AB54" s="451">
        <f t="shared" si="43"/>
        <v>0</v>
      </c>
      <c r="AC54" s="222"/>
      <c r="AD54" s="1375"/>
      <c r="AE54" s="1120"/>
    </row>
    <row r="55" spans="1:31" x14ac:dyDescent="0.3">
      <c r="A55" s="190" t="s">
        <v>90</v>
      </c>
      <c r="B55" s="450">
        <v>0</v>
      </c>
      <c r="C55" s="464">
        <v>430980.63999999996</v>
      </c>
      <c r="D55" s="452">
        <f t="shared" si="40"/>
        <v>430980.63999999996</v>
      </c>
      <c r="E55" s="220" t="str">
        <f t="shared" si="32"/>
        <v>-</v>
      </c>
      <c r="F55" s="256"/>
      <c r="G55" s="463">
        <v>0</v>
      </c>
      <c r="H55" s="464">
        <v>1116364.51</v>
      </c>
      <c r="I55" s="452">
        <f t="shared" si="41"/>
        <v>1116364.51</v>
      </c>
      <c r="J55" s="221" t="str">
        <f t="shared" si="33"/>
        <v>-</v>
      </c>
      <c r="K55" s="256"/>
      <c r="L55" s="450">
        <v>0</v>
      </c>
      <c r="M55" s="464">
        <v>1409240.26</v>
      </c>
      <c r="N55" s="452">
        <f t="shared" si="34"/>
        <v>1409240.26</v>
      </c>
      <c r="O55" s="222" t="str">
        <f t="shared" si="35"/>
        <v>-</v>
      </c>
      <c r="P55" s="256"/>
      <c r="Q55" s="463">
        <v>0</v>
      </c>
      <c r="R55" s="464">
        <v>1238149.3500000001</v>
      </c>
      <c r="S55" s="452">
        <f t="shared" si="36"/>
        <v>1238149.3500000001</v>
      </c>
      <c r="T55" s="223" t="str">
        <f t="shared" si="37"/>
        <v>-</v>
      </c>
      <c r="U55" s="256"/>
      <c r="V55" s="450">
        <f t="shared" si="44"/>
        <v>0</v>
      </c>
      <c r="W55" s="451">
        <f t="shared" si="45"/>
        <v>4194734.76</v>
      </c>
      <c r="X55" s="452">
        <f t="shared" si="42"/>
        <v>4194734.76</v>
      </c>
      <c r="Y55" s="222" t="str">
        <f t="shared" si="38"/>
        <v>-</v>
      </c>
      <c r="Z55" s="257"/>
      <c r="AA55" s="450">
        <v>0</v>
      </c>
      <c r="AB55" s="451">
        <f t="shared" si="43"/>
        <v>-4194734.76</v>
      </c>
      <c r="AC55" s="222" t="str">
        <f t="shared" si="39"/>
        <v>-</v>
      </c>
      <c r="AD55" s="1375"/>
      <c r="AE55" s="1120"/>
    </row>
    <row r="56" spans="1:31" x14ac:dyDescent="0.3">
      <c r="A56" s="190" t="s">
        <v>91</v>
      </c>
      <c r="B56" s="450">
        <v>600</v>
      </c>
      <c r="C56" s="464">
        <v>599.97</v>
      </c>
      <c r="D56" s="452">
        <f t="shared" si="40"/>
        <v>-2.9999999999972715E-2</v>
      </c>
      <c r="E56" s="220">
        <f t="shared" si="32"/>
        <v>-4.9999999999954527E-5</v>
      </c>
      <c r="F56" s="256"/>
      <c r="G56" s="463">
        <v>0</v>
      </c>
      <c r="H56" s="464">
        <v>0</v>
      </c>
      <c r="I56" s="452">
        <f t="shared" si="41"/>
        <v>0</v>
      </c>
      <c r="J56" s="221" t="str">
        <f t="shared" si="33"/>
        <v>-</v>
      </c>
      <c r="K56" s="256"/>
      <c r="L56" s="450">
        <v>0</v>
      </c>
      <c r="M56" s="464">
        <v>0</v>
      </c>
      <c r="N56" s="452">
        <f t="shared" si="34"/>
        <v>0</v>
      </c>
      <c r="O56" s="222" t="str">
        <f t="shared" si="35"/>
        <v>-</v>
      </c>
      <c r="P56" s="256"/>
      <c r="Q56" s="463">
        <v>0</v>
      </c>
      <c r="R56" s="464">
        <v>0</v>
      </c>
      <c r="S56" s="452">
        <f t="shared" si="36"/>
        <v>0</v>
      </c>
      <c r="T56" s="223" t="str">
        <f t="shared" si="37"/>
        <v>-</v>
      </c>
      <c r="U56" s="256"/>
      <c r="V56" s="450">
        <f t="shared" si="44"/>
        <v>600</v>
      </c>
      <c r="W56" s="451">
        <f t="shared" si="45"/>
        <v>599.97</v>
      </c>
      <c r="X56" s="452">
        <f t="shared" si="42"/>
        <v>-2.9999999999972715E-2</v>
      </c>
      <c r="Y56" s="222">
        <f t="shared" si="38"/>
        <v>-4.9999999999954527E-5</v>
      </c>
      <c r="Z56" s="257"/>
      <c r="AA56" s="450">
        <v>0</v>
      </c>
      <c r="AB56" s="451">
        <f t="shared" si="43"/>
        <v>-599.97</v>
      </c>
      <c r="AC56" s="222" t="str">
        <f t="shared" si="39"/>
        <v>-</v>
      </c>
      <c r="AD56" s="1375"/>
      <c r="AE56" s="1119"/>
    </row>
    <row r="57" spans="1:31" x14ac:dyDescent="0.3">
      <c r="A57" s="190" t="s">
        <v>92</v>
      </c>
      <c r="B57" s="450">
        <v>196079</v>
      </c>
      <c r="C57" s="464">
        <v>58749.95</v>
      </c>
      <c r="D57" s="452">
        <f t="shared" si="40"/>
        <v>-137329.04999999999</v>
      </c>
      <c r="E57" s="220">
        <f t="shared" si="32"/>
        <v>-0.70037612390924064</v>
      </c>
      <c r="F57" s="256"/>
      <c r="G57" s="463">
        <v>112389</v>
      </c>
      <c r="H57" s="464">
        <v>98760.63</v>
      </c>
      <c r="I57" s="452">
        <f t="shared" si="41"/>
        <v>-13628.369999999995</v>
      </c>
      <c r="J57" s="221">
        <f t="shared" si="33"/>
        <v>-0.12126071056776015</v>
      </c>
      <c r="K57" s="256"/>
      <c r="L57" s="450">
        <v>105064</v>
      </c>
      <c r="M57" s="464">
        <v>43583.64</v>
      </c>
      <c r="N57" s="452">
        <f t="shared" si="34"/>
        <v>-61480.36</v>
      </c>
      <c r="O57" s="222">
        <f t="shared" si="35"/>
        <v>-0.58517056270463719</v>
      </c>
      <c r="P57" s="256"/>
      <c r="Q57" s="463">
        <v>0</v>
      </c>
      <c r="R57" s="464">
        <v>97305.89</v>
      </c>
      <c r="S57" s="452">
        <f t="shared" si="36"/>
        <v>97305.89</v>
      </c>
      <c r="T57" s="223" t="str">
        <f t="shared" si="37"/>
        <v>-</v>
      </c>
      <c r="U57" s="256"/>
      <c r="V57" s="450">
        <f t="shared" si="44"/>
        <v>413532</v>
      </c>
      <c r="W57" s="451">
        <f t="shared" si="45"/>
        <v>298400.11000000004</v>
      </c>
      <c r="X57" s="452">
        <f t="shared" si="42"/>
        <v>-115131.88999999996</v>
      </c>
      <c r="Y57" s="222">
        <f t="shared" si="38"/>
        <v>-0.27841107822369238</v>
      </c>
      <c r="Z57" s="257"/>
      <c r="AA57" s="450">
        <v>636316</v>
      </c>
      <c r="AB57" s="451">
        <f t="shared" si="43"/>
        <v>337915.88999999996</v>
      </c>
      <c r="AC57" s="222">
        <f t="shared" si="39"/>
        <v>0.53105043720415634</v>
      </c>
      <c r="AD57" s="1375"/>
      <c r="AE57" s="1119"/>
    </row>
    <row r="58" spans="1:31" x14ac:dyDescent="0.3">
      <c r="A58" s="190" t="s">
        <v>93</v>
      </c>
      <c r="B58" s="450">
        <v>10393</v>
      </c>
      <c r="C58" s="464">
        <v>23166.22</v>
      </c>
      <c r="D58" s="452">
        <f t="shared" si="40"/>
        <v>12773.220000000001</v>
      </c>
      <c r="E58" s="220">
        <f t="shared" si="32"/>
        <v>1.2290214567497355</v>
      </c>
      <c r="F58" s="256"/>
      <c r="G58" s="463">
        <v>0</v>
      </c>
      <c r="H58" s="464">
        <v>0</v>
      </c>
      <c r="I58" s="452">
        <f t="shared" si="41"/>
        <v>0</v>
      </c>
      <c r="J58" s="221" t="str">
        <f t="shared" si="33"/>
        <v>-</v>
      </c>
      <c r="K58" s="256"/>
      <c r="L58" s="450">
        <v>0</v>
      </c>
      <c r="M58" s="464">
        <v>9391.6</v>
      </c>
      <c r="N58" s="452">
        <f t="shared" si="34"/>
        <v>9391.6</v>
      </c>
      <c r="O58" s="222" t="str">
        <f t="shared" si="35"/>
        <v>-</v>
      </c>
      <c r="P58" s="256"/>
      <c r="Q58" s="463">
        <v>0</v>
      </c>
      <c r="R58" s="464">
        <v>6314.32</v>
      </c>
      <c r="S58" s="452">
        <f t="shared" si="36"/>
        <v>6314.32</v>
      </c>
      <c r="T58" s="223" t="str">
        <f t="shared" si="37"/>
        <v>-</v>
      </c>
      <c r="U58" s="256"/>
      <c r="V58" s="450">
        <f t="shared" si="44"/>
        <v>10393</v>
      </c>
      <c r="W58" s="451">
        <f t="shared" si="45"/>
        <v>38872.14</v>
      </c>
      <c r="X58" s="452">
        <f t="shared" si="42"/>
        <v>28479.14</v>
      </c>
      <c r="Y58" s="222">
        <f t="shared" si="38"/>
        <v>2.7402232271721352</v>
      </c>
      <c r="Z58" s="257"/>
      <c r="AA58" s="450">
        <v>104200</v>
      </c>
      <c r="AB58" s="451">
        <f t="shared" si="43"/>
        <v>65327.86</v>
      </c>
      <c r="AC58" s="222">
        <f t="shared" si="39"/>
        <v>0.62694683301343568</v>
      </c>
      <c r="AD58" s="1375"/>
      <c r="AE58" s="1120"/>
    </row>
    <row r="59" spans="1:31" x14ac:dyDescent="0.3">
      <c r="A59" s="190" t="s">
        <v>94</v>
      </c>
      <c r="B59" s="450">
        <v>0</v>
      </c>
      <c r="C59" s="464">
        <v>0</v>
      </c>
      <c r="D59" s="452">
        <f t="shared" si="40"/>
        <v>0</v>
      </c>
      <c r="E59" s="220" t="str">
        <f t="shared" si="32"/>
        <v>-</v>
      </c>
      <c r="F59" s="256"/>
      <c r="G59" s="463">
        <v>0</v>
      </c>
      <c r="H59" s="464">
        <v>0</v>
      </c>
      <c r="I59" s="452">
        <f t="shared" si="41"/>
        <v>0</v>
      </c>
      <c r="J59" s="221" t="str">
        <f t="shared" si="33"/>
        <v>-</v>
      </c>
      <c r="K59" s="256"/>
      <c r="L59" s="450">
        <v>0</v>
      </c>
      <c r="M59" s="464">
        <v>0</v>
      </c>
      <c r="N59" s="452">
        <f t="shared" si="34"/>
        <v>0</v>
      </c>
      <c r="O59" s="222" t="str">
        <f t="shared" si="35"/>
        <v>-</v>
      </c>
      <c r="P59" s="256"/>
      <c r="Q59" s="463">
        <v>0</v>
      </c>
      <c r="R59" s="464">
        <v>0</v>
      </c>
      <c r="S59" s="452">
        <f t="shared" si="36"/>
        <v>0</v>
      </c>
      <c r="T59" s="223" t="str">
        <f t="shared" si="37"/>
        <v>-</v>
      </c>
      <c r="U59" s="256"/>
      <c r="V59" s="450">
        <f t="shared" si="44"/>
        <v>0</v>
      </c>
      <c r="W59" s="451">
        <f t="shared" si="45"/>
        <v>0</v>
      </c>
      <c r="X59" s="452">
        <f t="shared" si="42"/>
        <v>0</v>
      </c>
      <c r="Y59" s="222" t="str">
        <f t="shared" si="38"/>
        <v>-</v>
      </c>
      <c r="Z59" s="257"/>
      <c r="AA59" s="450">
        <v>0</v>
      </c>
      <c r="AB59" s="451">
        <f t="shared" si="43"/>
        <v>0</v>
      </c>
      <c r="AC59" s="222" t="str">
        <f t="shared" si="39"/>
        <v>-</v>
      </c>
      <c r="AD59" s="1375"/>
      <c r="AE59" s="1120"/>
    </row>
    <row r="60" spans="1:31" x14ac:dyDescent="0.3">
      <c r="A60" s="190" t="s">
        <v>95</v>
      </c>
      <c r="B60" s="450">
        <v>131033</v>
      </c>
      <c r="C60" s="464">
        <v>113009</v>
      </c>
      <c r="D60" s="452">
        <f t="shared" si="40"/>
        <v>-18024</v>
      </c>
      <c r="E60" s="220">
        <f t="shared" si="32"/>
        <v>-0.13755313546969083</v>
      </c>
      <c r="F60" s="191"/>
      <c r="G60" s="463">
        <v>141033</v>
      </c>
      <c r="H60" s="464">
        <v>95629.83</v>
      </c>
      <c r="I60" s="452">
        <f t="shared" si="41"/>
        <v>-45403.17</v>
      </c>
      <c r="J60" s="221">
        <f t="shared" si="33"/>
        <v>-0.32193295186233006</v>
      </c>
      <c r="K60" s="191"/>
      <c r="L60" s="450">
        <v>141033</v>
      </c>
      <c r="M60" s="464">
        <v>251534.84</v>
      </c>
      <c r="N60" s="452">
        <f t="shared" si="34"/>
        <v>110501.84</v>
      </c>
      <c r="O60" s="222">
        <f t="shared" si="35"/>
        <v>0.78351761644437823</v>
      </c>
      <c r="P60" s="191"/>
      <c r="Q60" s="463">
        <v>141033</v>
      </c>
      <c r="R60" s="464">
        <v>260003.51</v>
      </c>
      <c r="S60" s="452">
        <f t="shared" si="36"/>
        <v>118970.51000000001</v>
      </c>
      <c r="T60" s="223">
        <f t="shared" si="37"/>
        <v>0.84356505215091515</v>
      </c>
      <c r="U60" s="191"/>
      <c r="V60" s="450">
        <f t="shared" si="44"/>
        <v>554132</v>
      </c>
      <c r="W60" s="451">
        <f t="shared" si="45"/>
        <v>720177.18</v>
      </c>
      <c r="X60" s="452">
        <f t="shared" si="42"/>
        <v>166045.18000000005</v>
      </c>
      <c r="Y60" s="222">
        <f t="shared" si="38"/>
        <v>0.29964914496906886</v>
      </c>
      <c r="Z60" s="188"/>
      <c r="AA60" s="450">
        <v>342000</v>
      </c>
      <c r="AB60" s="451">
        <f t="shared" si="43"/>
        <v>-378177.18000000005</v>
      </c>
      <c r="AC60" s="222">
        <f t="shared" si="39"/>
        <v>-1.1057812280701755</v>
      </c>
      <c r="AD60" s="1358"/>
      <c r="AE60" s="1374"/>
    </row>
    <row r="61" spans="1:31" x14ac:dyDescent="0.3">
      <c r="A61" s="190" t="s">
        <v>96</v>
      </c>
      <c r="B61" s="450">
        <v>127500</v>
      </c>
      <c r="C61" s="464">
        <v>30575.78</v>
      </c>
      <c r="D61" s="452">
        <f t="shared" si="40"/>
        <v>-96924.22</v>
      </c>
      <c r="E61" s="220">
        <f t="shared" si="32"/>
        <v>-0.76018996078431378</v>
      </c>
      <c r="F61" s="191"/>
      <c r="G61" s="463">
        <v>67500</v>
      </c>
      <c r="H61" s="464">
        <v>45501.14</v>
      </c>
      <c r="I61" s="452">
        <f t="shared" si="41"/>
        <v>-21998.86</v>
      </c>
      <c r="J61" s="221">
        <f t="shared" si="33"/>
        <v>-0.32590903703703705</v>
      </c>
      <c r="K61" s="191"/>
      <c r="L61" s="450">
        <v>76300</v>
      </c>
      <c r="M61" s="464">
        <v>19711.18</v>
      </c>
      <c r="N61" s="452">
        <f t="shared" si="34"/>
        <v>-56588.82</v>
      </c>
      <c r="O61" s="222">
        <f t="shared" si="35"/>
        <v>-0.74166212319790303</v>
      </c>
      <c r="P61" s="191"/>
      <c r="Q61" s="463">
        <v>76500</v>
      </c>
      <c r="R61" s="464">
        <v>46865.64</v>
      </c>
      <c r="S61" s="452">
        <f t="shared" si="36"/>
        <v>-29634.36</v>
      </c>
      <c r="T61" s="223">
        <f t="shared" si="37"/>
        <v>-0.38737725490196079</v>
      </c>
      <c r="U61" s="191"/>
      <c r="V61" s="450">
        <f t="shared" si="44"/>
        <v>347800</v>
      </c>
      <c r="W61" s="451">
        <f t="shared" si="45"/>
        <v>142653.74</v>
      </c>
      <c r="X61" s="452">
        <f t="shared" si="42"/>
        <v>-205146.26</v>
      </c>
      <c r="Y61" s="222">
        <f t="shared" si="38"/>
        <v>-0.589839735480161</v>
      </c>
      <c r="Z61" s="188"/>
      <c r="AA61" s="450">
        <v>222140</v>
      </c>
      <c r="AB61" s="451">
        <f t="shared" si="43"/>
        <v>79486.260000000009</v>
      </c>
      <c r="AC61" s="222">
        <f t="shared" si="39"/>
        <v>0.3578205636085352</v>
      </c>
      <c r="AD61" s="1358"/>
      <c r="AE61" s="1120"/>
    </row>
    <row r="62" spans="1:31" x14ac:dyDescent="0.3">
      <c r="A62" s="190" t="s">
        <v>110</v>
      </c>
      <c r="B62" s="450">
        <v>244234</v>
      </c>
      <c r="C62" s="464">
        <v>14312.920000000002</v>
      </c>
      <c r="D62" s="452">
        <f t="shared" si="40"/>
        <v>-229921.08</v>
      </c>
      <c r="E62" s="220">
        <f t="shared" si="32"/>
        <v>-0.94139669333508025</v>
      </c>
      <c r="F62" s="191"/>
      <c r="G62" s="463">
        <v>223500</v>
      </c>
      <c r="H62" s="464">
        <v>225342.62</v>
      </c>
      <c r="I62" s="452">
        <f t="shared" si="41"/>
        <v>1842.6199999999953</v>
      </c>
      <c r="J62" s="221">
        <f t="shared" si="33"/>
        <v>8.2443847874720151E-3</v>
      </c>
      <c r="K62" s="191"/>
      <c r="L62" s="450">
        <v>223500</v>
      </c>
      <c r="M62" s="464">
        <v>283793.09000000003</v>
      </c>
      <c r="N62" s="452">
        <f t="shared" si="34"/>
        <v>60293.090000000026</v>
      </c>
      <c r="O62" s="222">
        <f t="shared" si="35"/>
        <v>0.26976774049217012</v>
      </c>
      <c r="P62" s="191"/>
      <c r="Q62" s="463">
        <v>223500</v>
      </c>
      <c r="R62" s="464">
        <v>214463.9</v>
      </c>
      <c r="S62" s="452">
        <f t="shared" si="36"/>
        <v>-9036.1000000000058</v>
      </c>
      <c r="T62" s="223">
        <f t="shared" si="37"/>
        <v>-4.0429977628635372E-2</v>
      </c>
      <c r="U62" s="191"/>
      <c r="V62" s="450">
        <f t="shared" si="44"/>
        <v>914734</v>
      </c>
      <c r="W62" s="451">
        <f t="shared" si="45"/>
        <v>737912.53</v>
      </c>
      <c r="X62" s="452">
        <f t="shared" si="42"/>
        <v>-176821.46999999997</v>
      </c>
      <c r="Y62" s="222">
        <f t="shared" si="38"/>
        <v>-0.19330370359033333</v>
      </c>
      <c r="Z62" s="188"/>
      <c r="AA62" s="450">
        <v>4933131</v>
      </c>
      <c r="AB62" s="451">
        <f t="shared" si="43"/>
        <v>4195218.47</v>
      </c>
      <c r="AC62" s="222">
        <f t="shared" si="39"/>
        <v>0.85041700088645522</v>
      </c>
      <c r="AD62" s="1358"/>
      <c r="AE62" s="1120"/>
    </row>
    <row r="63" spans="1:31" x14ac:dyDescent="0.3">
      <c r="A63" s="190" t="s">
        <v>124</v>
      </c>
      <c r="B63" s="450">
        <v>100500</v>
      </c>
      <c r="C63" s="464">
        <v>1136.43</v>
      </c>
      <c r="D63" s="452">
        <f t="shared" si="40"/>
        <v>-99363.57</v>
      </c>
      <c r="E63" s="220">
        <f t="shared" si="32"/>
        <v>-0.98869223880597024</v>
      </c>
      <c r="F63" s="191"/>
      <c r="G63" s="463">
        <v>0</v>
      </c>
      <c r="H63" s="464">
        <v>0</v>
      </c>
      <c r="I63" s="452">
        <f t="shared" si="41"/>
        <v>0</v>
      </c>
      <c r="J63" s="221" t="str">
        <f t="shared" si="33"/>
        <v>-</v>
      </c>
      <c r="K63" s="191"/>
      <c r="L63" s="450">
        <v>0</v>
      </c>
      <c r="M63" s="464">
        <v>0</v>
      </c>
      <c r="N63" s="452">
        <f t="shared" si="34"/>
        <v>0</v>
      </c>
      <c r="O63" s="222" t="str">
        <f t="shared" si="35"/>
        <v>-</v>
      </c>
      <c r="P63" s="191"/>
      <c r="Q63" s="463">
        <v>0</v>
      </c>
      <c r="R63" s="464">
        <v>0</v>
      </c>
      <c r="S63" s="452">
        <f t="shared" si="36"/>
        <v>0</v>
      </c>
      <c r="T63" s="223" t="str">
        <f t="shared" si="37"/>
        <v>-</v>
      </c>
      <c r="U63" s="191"/>
      <c r="V63" s="450">
        <f t="shared" si="44"/>
        <v>100500</v>
      </c>
      <c r="W63" s="451">
        <f t="shared" si="45"/>
        <v>1136.43</v>
      </c>
      <c r="X63" s="452">
        <f t="shared" si="42"/>
        <v>-99363.57</v>
      </c>
      <c r="Y63" s="222">
        <f t="shared" si="38"/>
        <v>-0.98869223880597024</v>
      </c>
      <c r="Z63" s="188"/>
      <c r="AA63" s="450">
        <v>485812</v>
      </c>
      <c r="AB63" s="451">
        <f t="shared" si="43"/>
        <v>484675.57</v>
      </c>
      <c r="AC63" s="222">
        <f t="shared" si="39"/>
        <v>0.99766076177616037</v>
      </c>
      <c r="AD63" s="1358"/>
      <c r="AE63" s="1120"/>
    </row>
    <row r="64" spans="1:31" x14ac:dyDescent="0.3">
      <c r="A64" s="190" t="s">
        <v>123</v>
      </c>
      <c r="B64" s="450">
        <v>0</v>
      </c>
      <c r="C64" s="464">
        <v>0</v>
      </c>
      <c r="D64" s="452">
        <f t="shared" si="40"/>
        <v>0</v>
      </c>
      <c r="E64" s="220" t="str">
        <f t="shared" si="32"/>
        <v>-</v>
      </c>
      <c r="F64" s="256"/>
      <c r="G64" s="463">
        <v>0</v>
      </c>
      <c r="H64" s="464">
        <v>0</v>
      </c>
      <c r="I64" s="452">
        <f t="shared" si="41"/>
        <v>0</v>
      </c>
      <c r="J64" s="221" t="str">
        <f t="shared" si="33"/>
        <v>-</v>
      </c>
      <c r="K64" s="256"/>
      <c r="L64" s="450">
        <v>0</v>
      </c>
      <c r="M64" s="464">
        <v>0</v>
      </c>
      <c r="N64" s="452">
        <f t="shared" si="34"/>
        <v>0</v>
      </c>
      <c r="O64" s="222" t="str">
        <f t="shared" si="35"/>
        <v>-</v>
      </c>
      <c r="P64" s="256"/>
      <c r="Q64" s="463">
        <v>0</v>
      </c>
      <c r="R64" s="464">
        <v>0</v>
      </c>
      <c r="S64" s="452">
        <f t="shared" si="36"/>
        <v>0</v>
      </c>
      <c r="T64" s="223" t="str">
        <f t="shared" si="37"/>
        <v>-</v>
      </c>
      <c r="U64" s="256"/>
      <c r="V64" s="450">
        <f t="shared" si="44"/>
        <v>0</v>
      </c>
      <c r="W64" s="451">
        <f t="shared" si="45"/>
        <v>0</v>
      </c>
      <c r="X64" s="452">
        <f t="shared" si="42"/>
        <v>0</v>
      </c>
      <c r="Y64" s="222" t="str">
        <f t="shared" si="38"/>
        <v>-</v>
      </c>
      <c r="Z64" s="257"/>
      <c r="AA64" s="450">
        <v>0</v>
      </c>
      <c r="AB64" s="451">
        <f t="shared" si="43"/>
        <v>0</v>
      </c>
      <c r="AC64" s="222" t="str">
        <f t="shared" si="39"/>
        <v>-</v>
      </c>
      <c r="AD64" s="1375"/>
      <c r="AE64" s="1120"/>
    </row>
    <row r="65" spans="1:31" x14ac:dyDescent="0.3">
      <c r="A65" s="190" t="s">
        <v>122</v>
      </c>
      <c r="B65" s="450">
        <v>392952</v>
      </c>
      <c r="C65" s="464">
        <v>102883</v>
      </c>
      <c r="D65" s="452">
        <f t="shared" si="40"/>
        <v>-290069</v>
      </c>
      <c r="E65" s="220">
        <f t="shared" si="32"/>
        <v>-0.73817921781795237</v>
      </c>
      <c r="F65" s="256"/>
      <c r="G65" s="463">
        <v>90564</v>
      </c>
      <c r="H65" s="464">
        <v>27392.76</v>
      </c>
      <c r="I65" s="452">
        <f t="shared" si="41"/>
        <v>-63171.240000000005</v>
      </c>
      <c r="J65" s="221">
        <f t="shared" si="33"/>
        <v>-0.69753146945806288</v>
      </c>
      <c r="K65" s="256"/>
      <c r="L65" s="450">
        <v>90564</v>
      </c>
      <c r="M65" s="464">
        <v>60396.32</v>
      </c>
      <c r="N65" s="452">
        <f t="shared" si="34"/>
        <v>-30167.68</v>
      </c>
      <c r="O65" s="222">
        <f t="shared" si="35"/>
        <v>-0.33310896161830306</v>
      </c>
      <c r="P65" s="256"/>
      <c r="Q65" s="463">
        <v>90564</v>
      </c>
      <c r="R65" s="464">
        <v>33621.65</v>
      </c>
      <c r="S65" s="452">
        <f t="shared" si="36"/>
        <v>-56942.35</v>
      </c>
      <c r="T65" s="223">
        <f t="shared" si="37"/>
        <v>-0.62875259485005075</v>
      </c>
      <c r="U65" s="256"/>
      <c r="V65" s="450">
        <f t="shared" si="44"/>
        <v>664644</v>
      </c>
      <c r="W65" s="451">
        <f t="shared" si="45"/>
        <v>224293.72999999998</v>
      </c>
      <c r="X65" s="452">
        <f t="shared" si="42"/>
        <v>-440350.27</v>
      </c>
      <c r="Y65" s="222">
        <f t="shared" si="38"/>
        <v>-0.66253553782175123</v>
      </c>
      <c r="Z65" s="257"/>
      <c r="AA65" s="450">
        <v>1546807</v>
      </c>
      <c r="AB65" s="451">
        <f t="shared" si="43"/>
        <v>1322513.27</v>
      </c>
      <c r="AC65" s="222">
        <f t="shared" si="39"/>
        <v>0.85499565879906159</v>
      </c>
      <c r="AD65" s="1375"/>
      <c r="AE65" s="1119"/>
    </row>
    <row r="66" spans="1:31" x14ac:dyDescent="0.3">
      <c r="A66" s="190" t="s">
        <v>114</v>
      </c>
      <c r="B66" s="450">
        <v>16500</v>
      </c>
      <c r="C66" s="464">
        <v>10616.09</v>
      </c>
      <c r="D66" s="452">
        <f t="shared" si="40"/>
        <v>-5883.91</v>
      </c>
      <c r="E66" s="220">
        <f t="shared" si="32"/>
        <v>-0.35660060606060606</v>
      </c>
      <c r="F66" s="256"/>
      <c r="G66" s="463">
        <v>0</v>
      </c>
      <c r="H66" s="464">
        <v>2772.58</v>
      </c>
      <c r="I66" s="452">
        <f t="shared" si="41"/>
        <v>2772.58</v>
      </c>
      <c r="J66" s="221" t="str">
        <f t="shared" si="33"/>
        <v>-</v>
      </c>
      <c r="K66" s="256"/>
      <c r="L66" s="450">
        <v>0</v>
      </c>
      <c r="M66" s="464">
        <v>9953.2800000000007</v>
      </c>
      <c r="N66" s="452">
        <f t="shared" si="34"/>
        <v>9953.2800000000007</v>
      </c>
      <c r="O66" s="222" t="str">
        <f t="shared" si="35"/>
        <v>-</v>
      </c>
      <c r="P66" s="256"/>
      <c r="Q66" s="463">
        <v>0</v>
      </c>
      <c r="R66" s="464">
        <v>3651.46</v>
      </c>
      <c r="S66" s="452">
        <f t="shared" si="36"/>
        <v>3651.46</v>
      </c>
      <c r="T66" s="223" t="str">
        <f t="shared" si="37"/>
        <v>-</v>
      </c>
      <c r="U66" s="256"/>
      <c r="V66" s="450">
        <f t="shared" si="44"/>
        <v>16500</v>
      </c>
      <c r="W66" s="451">
        <f t="shared" si="45"/>
        <v>26993.41</v>
      </c>
      <c r="X66" s="452">
        <f t="shared" si="42"/>
        <v>10493.41</v>
      </c>
      <c r="Y66" s="222">
        <f t="shared" si="38"/>
        <v>0.63596424242424243</v>
      </c>
      <c r="Z66" s="257"/>
      <c r="AA66" s="450">
        <v>66000</v>
      </c>
      <c r="AB66" s="451">
        <f t="shared" si="43"/>
        <v>39006.589999999997</v>
      </c>
      <c r="AC66" s="222">
        <f t="shared" si="39"/>
        <v>0.59100893939393939</v>
      </c>
      <c r="AD66" s="1375"/>
      <c r="AE66" s="1120"/>
    </row>
    <row r="67" spans="1:31" x14ac:dyDescent="0.3">
      <c r="A67" s="190" t="s">
        <v>115</v>
      </c>
      <c r="B67" s="450">
        <v>29032.560000000001</v>
      </c>
      <c r="C67" s="464">
        <v>29032.560000000001</v>
      </c>
      <c r="D67" s="452">
        <f t="shared" si="40"/>
        <v>0</v>
      </c>
      <c r="E67" s="220">
        <f t="shared" si="32"/>
        <v>0</v>
      </c>
      <c r="F67" s="191"/>
      <c r="G67" s="463">
        <v>29032.560000000001</v>
      </c>
      <c r="H67" s="464">
        <v>41129.46</v>
      </c>
      <c r="I67" s="452">
        <f t="shared" si="41"/>
        <v>12096.899999999998</v>
      </c>
      <c r="J67" s="221">
        <f t="shared" si="33"/>
        <v>0.41666666666666657</v>
      </c>
      <c r="K67" s="191"/>
      <c r="L67" s="450">
        <v>29032.560000000001</v>
      </c>
      <c r="M67" s="464">
        <v>29032.560000000001</v>
      </c>
      <c r="N67" s="452">
        <f t="shared" si="34"/>
        <v>0</v>
      </c>
      <c r="O67" s="222">
        <f t="shared" si="35"/>
        <v>0</v>
      </c>
      <c r="P67" s="191"/>
      <c r="Q67" s="463">
        <v>29032.560000000001</v>
      </c>
      <c r="R67" s="464">
        <v>29032.560000000001</v>
      </c>
      <c r="S67" s="452">
        <f t="shared" si="36"/>
        <v>0</v>
      </c>
      <c r="T67" s="223">
        <f t="shared" si="37"/>
        <v>0</v>
      </c>
      <c r="U67" s="191"/>
      <c r="V67" s="450">
        <f t="shared" si="44"/>
        <v>116130.24000000001</v>
      </c>
      <c r="W67" s="451">
        <f t="shared" si="45"/>
        <v>128227.14</v>
      </c>
      <c r="X67" s="452">
        <f t="shared" si="42"/>
        <v>12096.899999999994</v>
      </c>
      <c r="Y67" s="222">
        <f t="shared" si="38"/>
        <v>0.10416666666666662</v>
      </c>
      <c r="Z67" s="188"/>
      <c r="AA67" s="450">
        <v>116130</v>
      </c>
      <c r="AB67" s="451">
        <f t="shared" si="43"/>
        <v>-12097.14</v>
      </c>
      <c r="AC67" s="222">
        <f t="shared" si="39"/>
        <v>-0.10416894859209506</v>
      </c>
      <c r="AD67" s="1358"/>
      <c r="AE67" s="1119"/>
    </row>
    <row r="68" spans="1:31" x14ac:dyDescent="0.3">
      <c r="A68" s="190" t="s">
        <v>121</v>
      </c>
      <c r="B68" s="450">
        <v>0</v>
      </c>
      <c r="C68" s="464">
        <v>0</v>
      </c>
      <c r="D68" s="452">
        <f t="shared" si="40"/>
        <v>0</v>
      </c>
      <c r="E68" s="220" t="str">
        <f>IF(ISERROR(D68/B68),"-",D68/B68)</f>
        <v>-</v>
      </c>
      <c r="F68" s="256"/>
      <c r="G68" s="463">
        <v>0</v>
      </c>
      <c r="H68" s="464">
        <v>0</v>
      </c>
      <c r="I68" s="452">
        <f t="shared" si="41"/>
        <v>0</v>
      </c>
      <c r="J68" s="221" t="str">
        <f t="shared" si="33"/>
        <v>-</v>
      </c>
      <c r="K68" s="256"/>
      <c r="L68" s="450">
        <v>0</v>
      </c>
      <c r="M68" s="464">
        <v>0</v>
      </c>
      <c r="N68" s="452">
        <f t="shared" si="34"/>
        <v>0</v>
      </c>
      <c r="O68" s="222" t="str">
        <f t="shared" si="35"/>
        <v>-</v>
      </c>
      <c r="P68" s="256"/>
      <c r="Q68" s="463">
        <v>0</v>
      </c>
      <c r="R68" s="464">
        <v>0</v>
      </c>
      <c r="S68" s="452">
        <f t="shared" si="36"/>
        <v>0</v>
      </c>
      <c r="T68" s="223" t="str">
        <f t="shared" si="37"/>
        <v>-</v>
      </c>
      <c r="U68" s="256"/>
      <c r="V68" s="450">
        <f>B68+G68+L68+Q68</f>
        <v>0</v>
      </c>
      <c r="W68" s="451">
        <f>C68+H68+M68+R68</f>
        <v>0</v>
      </c>
      <c r="X68" s="452">
        <f t="shared" si="42"/>
        <v>0</v>
      </c>
      <c r="Y68" s="222" t="str">
        <f t="shared" si="38"/>
        <v>-</v>
      </c>
      <c r="Z68" s="257"/>
      <c r="AA68" s="450">
        <v>0</v>
      </c>
      <c r="AB68" s="451">
        <f t="shared" si="43"/>
        <v>0</v>
      </c>
      <c r="AC68" s="222" t="str">
        <f t="shared" si="39"/>
        <v>-</v>
      </c>
      <c r="AD68" s="1375"/>
      <c r="AE68" s="1119"/>
    </row>
    <row r="69" spans="1:31" x14ac:dyDescent="0.3">
      <c r="A69" s="190" t="s">
        <v>97</v>
      </c>
      <c r="B69" s="450">
        <v>154964</v>
      </c>
      <c r="C69" s="464">
        <v>206406.39999999999</v>
      </c>
      <c r="D69" s="452">
        <f t="shared" si="40"/>
        <v>51442.399999999994</v>
      </c>
      <c r="E69" s="220">
        <f t="shared" si="32"/>
        <v>0.33196355282517226</v>
      </c>
      <c r="F69" s="256"/>
      <c r="G69" s="463">
        <v>91524</v>
      </c>
      <c r="H69" s="464">
        <v>82563.03</v>
      </c>
      <c r="I69" s="452">
        <f t="shared" si="41"/>
        <v>-8960.9700000000012</v>
      </c>
      <c r="J69" s="221">
        <f t="shared" si="33"/>
        <v>-9.7908417464271674E-2</v>
      </c>
      <c r="K69" s="256"/>
      <c r="L69" s="450">
        <v>91524</v>
      </c>
      <c r="M69" s="464">
        <v>75921.69</v>
      </c>
      <c r="N69" s="452">
        <f t="shared" si="34"/>
        <v>-15602.309999999998</v>
      </c>
      <c r="O69" s="222">
        <f t="shared" si="35"/>
        <v>-0.17047233512521304</v>
      </c>
      <c r="P69" s="256"/>
      <c r="Q69" s="463">
        <v>91524</v>
      </c>
      <c r="R69" s="464">
        <v>75683.789999999994</v>
      </c>
      <c r="S69" s="452">
        <f t="shared" si="36"/>
        <v>-15840.210000000006</v>
      </c>
      <c r="T69" s="223">
        <f t="shared" si="37"/>
        <v>-0.17307165333682975</v>
      </c>
      <c r="U69" s="256"/>
      <c r="V69" s="450">
        <f t="shared" si="44"/>
        <v>429536</v>
      </c>
      <c r="W69" s="451">
        <f t="shared" si="45"/>
        <v>440574.91</v>
      </c>
      <c r="X69" s="452">
        <f t="shared" si="42"/>
        <v>11038.909999999974</v>
      </c>
      <c r="Y69" s="222">
        <f t="shared" si="38"/>
        <v>2.5699615398942055E-2</v>
      </c>
      <c r="Z69" s="257"/>
      <c r="AA69" s="450">
        <v>429535</v>
      </c>
      <c r="AB69" s="451">
        <f t="shared" si="43"/>
        <v>-11039.909999999974</v>
      </c>
      <c r="AC69" s="222">
        <f t="shared" si="39"/>
        <v>-2.5702003329181496E-2</v>
      </c>
      <c r="AD69" s="1375"/>
      <c r="AE69" s="1120"/>
    </row>
    <row r="70" spans="1:31" x14ac:dyDescent="0.3">
      <c r="A70" s="190" t="s">
        <v>98</v>
      </c>
      <c r="B70" s="450">
        <v>0</v>
      </c>
      <c r="C70" s="464">
        <v>0</v>
      </c>
      <c r="D70" s="452">
        <f t="shared" si="40"/>
        <v>0</v>
      </c>
      <c r="E70" s="220" t="str">
        <f t="shared" si="32"/>
        <v>-</v>
      </c>
      <c r="F70" s="191"/>
      <c r="G70" s="463">
        <v>0</v>
      </c>
      <c r="H70" s="464">
        <v>0</v>
      </c>
      <c r="I70" s="452">
        <f t="shared" si="41"/>
        <v>0</v>
      </c>
      <c r="J70" s="221" t="str">
        <f t="shared" si="33"/>
        <v>-</v>
      </c>
      <c r="K70" s="191"/>
      <c r="L70" s="450">
        <v>0</v>
      </c>
      <c r="M70" s="464">
        <v>0</v>
      </c>
      <c r="N70" s="452">
        <f t="shared" si="34"/>
        <v>0</v>
      </c>
      <c r="O70" s="222" t="str">
        <f t="shared" si="35"/>
        <v>-</v>
      </c>
      <c r="P70" s="191"/>
      <c r="Q70" s="463">
        <v>0</v>
      </c>
      <c r="R70" s="464">
        <v>0</v>
      </c>
      <c r="S70" s="452">
        <f t="shared" si="36"/>
        <v>0</v>
      </c>
      <c r="T70" s="223" t="str">
        <f t="shared" si="37"/>
        <v>-</v>
      </c>
      <c r="U70" s="191"/>
      <c r="V70" s="450">
        <f t="shared" si="44"/>
        <v>0</v>
      </c>
      <c r="W70" s="451">
        <f t="shared" si="45"/>
        <v>0</v>
      </c>
      <c r="X70" s="452">
        <f t="shared" si="42"/>
        <v>0</v>
      </c>
      <c r="Y70" s="222" t="str">
        <f t="shared" si="38"/>
        <v>-</v>
      </c>
      <c r="Z70" s="188"/>
      <c r="AA70" s="450">
        <v>0</v>
      </c>
      <c r="AB70" s="451">
        <f t="shared" si="43"/>
        <v>0</v>
      </c>
      <c r="AC70" s="222" t="str">
        <f t="shared" si="39"/>
        <v>-</v>
      </c>
      <c r="AD70" s="1358"/>
      <c r="AE70" s="1120"/>
    </row>
    <row r="71" spans="1:31" x14ac:dyDescent="0.3">
      <c r="A71" s="190" t="s">
        <v>116</v>
      </c>
      <c r="B71" s="450">
        <v>67263</v>
      </c>
      <c r="C71" s="464">
        <v>500</v>
      </c>
      <c r="D71" s="452">
        <f t="shared" si="40"/>
        <v>-66763</v>
      </c>
      <c r="E71" s="220">
        <f t="shared" si="32"/>
        <v>-0.99256649272259634</v>
      </c>
      <c r="F71" s="256"/>
      <c r="G71" s="463">
        <v>0</v>
      </c>
      <c r="H71" s="464">
        <v>0</v>
      </c>
      <c r="I71" s="452">
        <f t="shared" si="41"/>
        <v>0</v>
      </c>
      <c r="J71" s="221" t="str">
        <f t="shared" si="33"/>
        <v>-</v>
      </c>
      <c r="K71" s="256"/>
      <c r="L71" s="450">
        <v>0</v>
      </c>
      <c r="M71" s="464">
        <v>0</v>
      </c>
      <c r="N71" s="452">
        <f t="shared" si="34"/>
        <v>0</v>
      </c>
      <c r="O71" s="222" t="str">
        <f t="shared" si="35"/>
        <v>-</v>
      </c>
      <c r="P71" s="256"/>
      <c r="Q71" s="463">
        <v>0</v>
      </c>
      <c r="R71" s="464">
        <v>0</v>
      </c>
      <c r="S71" s="452">
        <f t="shared" si="36"/>
        <v>0</v>
      </c>
      <c r="T71" s="223" t="str">
        <f t="shared" si="37"/>
        <v>-</v>
      </c>
      <c r="U71" s="256"/>
      <c r="V71" s="450">
        <f t="shared" si="44"/>
        <v>67263</v>
      </c>
      <c r="W71" s="451">
        <f t="shared" si="45"/>
        <v>500</v>
      </c>
      <c r="X71" s="452">
        <f t="shared" si="42"/>
        <v>-66763</v>
      </c>
      <c r="Y71" s="222">
        <f t="shared" si="38"/>
        <v>-0.99256649272259634</v>
      </c>
      <c r="Z71" s="257"/>
      <c r="AA71" s="450">
        <v>88457</v>
      </c>
      <c r="AB71" s="451">
        <f t="shared" si="43"/>
        <v>87957</v>
      </c>
      <c r="AC71" s="222">
        <f t="shared" si="39"/>
        <v>0.99434753609098203</v>
      </c>
      <c r="AD71" s="1375"/>
      <c r="AE71" s="1120"/>
    </row>
    <row r="72" spans="1:31" x14ac:dyDescent="0.3">
      <c r="A72" s="190" t="s">
        <v>99</v>
      </c>
      <c r="B72" s="450">
        <v>42100</v>
      </c>
      <c r="C72" s="464">
        <v>34616.33</v>
      </c>
      <c r="D72" s="452">
        <f t="shared" si="40"/>
        <v>-7483.6699999999983</v>
      </c>
      <c r="E72" s="220">
        <f t="shared" si="32"/>
        <v>-0.17775938242280281</v>
      </c>
      <c r="F72" s="191"/>
      <c r="G72" s="463">
        <v>28500</v>
      </c>
      <c r="H72" s="464">
        <v>4180.1499999999996</v>
      </c>
      <c r="I72" s="452">
        <f t="shared" si="41"/>
        <v>-24319.85</v>
      </c>
      <c r="J72" s="221">
        <f t="shared" si="33"/>
        <v>-0.85332807017543855</v>
      </c>
      <c r="K72" s="191"/>
      <c r="L72" s="450">
        <v>7500</v>
      </c>
      <c r="M72" s="464">
        <v>0</v>
      </c>
      <c r="N72" s="452">
        <f t="shared" si="34"/>
        <v>-7500</v>
      </c>
      <c r="O72" s="222">
        <f t="shared" si="35"/>
        <v>-1</v>
      </c>
      <c r="P72" s="191"/>
      <c r="Q72" s="463">
        <v>7500</v>
      </c>
      <c r="R72" s="464">
        <v>782.2</v>
      </c>
      <c r="S72" s="452">
        <f t="shared" si="36"/>
        <v>-6717.8</v>
      </c>
      <c r="T72" s="223">
        <f t="shared" si="37"/>
        <v>-0.89570666666666665</v>
      </c>
      <c r="U72" s="191"/>
      <c r="V72" s="450">
        <f t="shared" si="44"/>
        <v>85600</v>
      </c>
      <c r="W72" s="451">
        <f t="shared" si="45"/>
        <v>39578.68</v>
      </c>
      <c r="X72" s="452">
        <f t="shared" si="42"/>
        <v>-46021.32</v>
      </c>
      <c r="Y72" s="222">
        <f t="shared" si="38"/>
        <v>-0.53763224299065415</v>
      </c>
      <c r="Z72" s="188"/>
      <c r="AA72" s="450">
        <v>52000</v>
      </c>
      <c r="AB72" s="451">
        <f t="shared" si="43"/>
        <v>12421.32</v>
      </c>
      <c r="AC72" s="222">
        <f t="shared" si="39"/>
        <v>0.23887153846153847</v>
      </c>
      <c r="AD72" s="1358"/>
      <c r="AE72" s="1120"/>
    </row>
    <row r="73" spans="1:31" x14ac:dyDescent="0.3">
      <c r="A73" s="190" t="s">
        <v>100</v>
      </c>
      <c r="B73" s="450">
        <v>500000</v>
      </c>
      <c r="C73" s="464">
        <v>1728.65</v>
      </c>
      <c r="D73" s="452">
        <f t="shared" si="40"/>
        <v>-498271.35</v>
      </c>
      <c r="E73" s="220">
        <f t="shared" si="32"/>
        <v>-0.9965427</v>
      </c>
      <c r="F73" s="256"/>
      <c r="G73" s="463">
        <v>0</v>
      </c>
      <c r="H73" s="464">
        <v>721.48</v>
      </c>
      <c r="I73" s="452">
        <f t="shared" si="41"/>
        <v>721.48</v>
      </c>
      <c r="J73" s="221" t="str">
        <f t="shared" si="33"/>
        <v>-</v>
      </c>
      <c r="K73" s="256"/>
      <c r="L73" s="450">
        <v>0</v>
      </c>
      <c r="M73" s="464">
        <v>241.94</v>
      </c>
      <c r="N73" s="452">
        <f t="shared" si="34"/>
        <v>241.94</v>
      </c>
      <c r="O73" s="222" t="str">
        <f t="shared" si="35"/>
        <v>-</v>
      </c>
      <c r="P73" s="256"/>
      <c r="Q73" s="463">
        <v>0</v>
      </c>
      <c r="R73" s="464">
        <v>161282.13</v>
      </c>
      <c r="S73" s="452">
        <f t="shared" si="36"/>
        <v>161282.13</v>
      </c>
      <c r="T73" s="223"/>
      <c r="U73" s="256"/>
      <c r="V73" s="450">
        <f t="shared" si="44"/>
        <v>500000</v>
      </c>
      <c r="W73" s="451">
        <f t="shared" si="45"/>
        <v>163974.20000000001</v>
      </c>
      <c r="X73" s="452">
        <f t="shared" si="42"/>
        <v>-336025.8</v>
      </c>
      <c r="Y73" s="222">
        <f t="shared" si="38"/>
        <v>-0.67205159999999997</v>
      </c>
      <c r="Z73" s="257"/>
      <c r="AA73" s="450">
        <v>560000</v>
      </c>
      <c r="AB73" s="451">
        <f t="shared" si="43"/>
        <v>396025.8</v>
      </c>
      <c r="AC73" s="222">
        <f t="shared" si="39"/>
        <v>0.70718892857142857</v>
      </c>
      <c r="AD73" s="1375"/>
      <c r="AE73" s="1119"/>
    </row>
    <row r="74" spans="1:31" x14ac:dyDescent="0.3">
      <c r="A74" s="275" t="s">
        <v>101</v>
      </c>
      <c r="B74" s="450">
        <v>366400</v>
      </c>
      <c r="C74" s="464">
        <v>320331.98</v>
      </c>
      <c r="D74" s="452">
        <f t="shared" si="40"/>
        <v>-46068.020000000019</v>
      </c>
      <c r="E74" s="220">
        <f t="shared" si="32"/>
        <v>-0.12573149563318783</v>
      </c>
      <c r="F74" s="191"/>
      <c r="G74" s="463">
        <v>358900</v>
      </c>
      <c r="H74" s="464">
        <v>365755.75</v>
      </c>
      <c r="I74" s="452">
        <f t="shared" si="41"/>
        <v>6855.75</v>
      </c>
      <c r="J74" s="221">
        <f t="shared" si="33"/>
        <v>1.9102117581499024E-2</v>
      </c>
      <c r="K74" s="191"/>
      <c r="L74" s="450">
        <v>358900</v>
      </c>
      <c r="M74" s="464">
        <v>408553.33</v>
      </c>
      <c r="N74" s="452">
        <f t="shared" si="34"/>
        <v>49653.330000000016</v>
      </c>
      <c r="O74" s="222">
        <f t="shared" si="35"/>
        <v>0.13834864864864868</v>
      </c>
      <c r="P74" s="191"/>
      <c r="Q74" s="463">
        <v>358900</v>
      </c>
      <c r="R74" s="464">
        <v>361069.1</v>
      </c>
      <c r="S74" s="452">
        <f t="shared" si="36"/>
        <v>2169.0999999999767</v>
      </c>
      <c r="T74" s="223">
        <f>IF(ISERROR(S74/Q74),"-",S74/Q74)</f>
        <v>6.0437447757034739E-3</v>
      </c>
      <c r="U74" s="191"/>
      <c r="V74" s="450">
        <f t="shared" si="44"/>
        <v>1443100</v>
      </c>
      <c r="W74" s="451">
        <f t="shared" si="45"/>
        <v>1455710.1600000001</v>
      </c>
      <c r="X74" s="452">
        <f t="shared" si="42"/>
        <v>12610.160000000149</v>
      </c>
      <c r="Y74" s="222">
        <f t="shared" si="38"/>
        <v>8.7382440579309474E-3</v>
      </c>
      <c r="Z74" s="188"/>
      <c r="AA74" s="450">
        <v>1465600</v>
      </c>
      <c r="AB74" s="451">
        <f t="shared" si="43"/>
        <v>9889.839999999851</v>
      </c>
      <c r="AC74" s="222">
        <f t="shared" si="39"/>
        <v>6.7479803493448766E-3</v>
      </c>
      <c r="AD74" s="1358"/>
      <c r="AE74" s="1119"/>
    </row>
    <row r="75" spans="1:31" x14ac:dyDescent="0.3">
      <c r="A75" s="276" t="s">
        <v>120</v>
      </c>
      <c r="B75" s="450">
        <v>0</v>
      </c>
      <c r="C75" s="464">
        <v>0</v>
      </c>
      <c r="D75" s="452">
        <f t="shared" si="40"/>
        <v>0</v>
      </c>
      <c r="E75" s="220" t="str">
        <f t="shared" si="32"/>
        <v>-</v>
      </c>
      <c r="F75" s="191"/>
      <c r="G75" s="463">
        <v>0</v>
      </c>
      <c r="H75" s="464">
        <v>0</v>
      </c>
      <c r="I75" s="452">
        <f t="shared" si="41"/>
        <v>0</v>
      </c>
      <c r="J75" s="221" t="str">
        <f t="shared" si="33"/>
        <v>-</v>
      </c>
      <c r="K75" s="191"/>
      <c r="L75" s="450">
        <v>0</v>
      </c>
      <c r="M75" s="464">
        <v>0</v>
      </c>
      <c r="N75" s="452">
        <f t="shared" si="34"/>
        <v>0</v>
      </c>
      <c r="O75" s="222" t="str">
        <f t="shared" si="35"/>
        <v>-</v>
      </c>
      <c r="P75" s="191"/>
      <c r="Q75" s="463">
        <v>0</v>
      </c>
      <c r="R75" s="464">
        <v>0</v>
      </c>
      <c r="S75" s="452">
        <f t="shared" si="36"/>
        <v>0</v>
      </c>
      <c r="T75" s="223" t="str">
        <f>IF(ISERROR(S75/Q75),"-",S75/Q75)</f>
        <v>-</v>
      </c>
      <c r="U75" s="191"/>
      <c r="V75" s="450">
        <f t="shared" si="44"/>
        <v>0</v>
      </c>
      <c r="W75" s="451">
        <f t="shared" si="45"/>
        <v>0</v>
      </c>
      <c r="X75" s="452">
        <f t="shared" si="42"/>
        <v>0</v>
      </c>
      <c r="Y75" s="222" t="str">
        <f t="shared" si="38"/>
        <v>-</v>
      </c>
      <c r="Z75" s="188"/>
      <c r="AA75" s="450">
        <v>0</v>
      </c>
      <c r="AB75" s="451">
        <f t="shared" si="43"/>
        <v>0</v>
      </c>
      <c r="AC75" s="222" t="str">
        <f t="shared" si="39"/>
        <v>-</v>
      </c>
      <c r="AD75" s="1358"/>
      <c r="AE75" s="1119"/>
    </row>
    <row r="76" spans="1:31" x14ac:dyDescent="0.3">
      <c r="A76" s="199" t="s">
        <v>102</v>
      </c>
      <c r="B76" s="469">
        <f>SUM(B43:B75)</f>
        <v>2615090.56</v>
      </c>
      <c r="C76" s="470">
        <f>SUM(C43:C75)</f>
        <v>1438036.98</v>
      </c>
      <c r="D76" s="470">
        <f>SUM(D43:D75)</f>
        <v>-1177053.58</v>
      </c>
      <c r="E76" s="237">
        <f t="shared" si="32"/>
        <v>-0.4501005043588242</v>
      </c>
      <c r="F76" s="203"/>
      <c r="G76" s="469">
        <f>SUM(G43:G75)</f>
        <v>1218891.56</v>
      </c>
      <c r="H76" s="470">
        <f>SUM(H43:H75)</f>
        <v>2141379.0699999998</v>
      </c>
      <c r="I76" s="470">
        <f>SUM(I43:I75)</f>
        <v>922487.51</v>
      </c>
      <c r="J76" s="237">
        <f>IF(ISERROR(I76/G76),"-",I76/G76)</f>
        <v>0.75682492214483787</v>
      </c>
      <c r="K76" s="203"/>
      <c r="L76" s="469">
        <f>SUM(L43:L75)</f>
        <v>1187384.56</v>
      </c>
      <c r="M76" s="470">
        <f>SUM(M43:M75)</f>
        <v>2639771.25</v>
      </c>
      <c r="N76" s="470">
        <f>SUM(N43:N75)</f>
        <v>1452386.6900000002</v>
      </c>
      <c r="O76" s="237">
        <f>IF(ISERROR(N76/L76),"-",N76/L76)</f>
        <v>1.2231813844707566</v>
      </c>
      <c r="P76" s="203"/>
      <c r="Q76" s="469">
        <f>SUM(Q43:Q75)</f>
        <v>1260520.56</v>
      </c>
      <c r="R76" s="469">
        <f>SUM(R43:R75)</f>
        <v>2584089.19</v>
      </c>
      <c r="S76" s="470">
        <f>SUM(S43:S75)</f>
        <v>1323568.6299999999</v>
      </c>
      <c r="T76" s="237">
        <f>IF(ISERROR(S76/Q76),"-",S76/Q76)</f>
        <v>1.0500174864264014</v>
      </c>
      <c r="U76" s="203"/>
      <c r="V76" s="469">
        <f>SUM(V44:V75)</f>
        <v>6281887.2400000002</v>
      </c>
      <c r="W76" s="470">
        <f>SUM(W43:W75)</f>
        <v>8803276.4900000002</v>
      </c>
      <c r="X76" s="470">
        <f>SUM(X43:X75)</f>
        <v>2521389.2500000009</v>
      </c>
      <c r="Y76" s="237">
        <f t="shared" si="38"/>
        <v>0.40137448407940557</v>
      </c>
      <c r="Z76" s="203"/>
      <c r="AA76" s="469">
        <f>SUM(AA43:AA75)</f>
        <v>11513819</v>
      </c>
      <c r="AB76" s="470">
        <f>SUM(AB43:AB75)</f>
        <v>2710542.5099999988</v>
      </c>
      <c r="AC76" s="237">
        <f t="shared" si="39"/>
        <v>0.23541645999472449</v>
      </c>
      <c r="AD76" s="1359"/>
      <c r="AE76" s="930"/>
    </row>
    <row r="77" spans="1:31" x14ac:dyDescent="0.3">
      <c r="A77" s="277"/>
      <c r="B77" s="486"/>
      <c r="C77" s="487"/>
      <c r="D77" s="487"/>
      <c r="E77" s="280"/>
      <c r="F77" s="175"/>
      <c r="G77" s="488"/>
      <c r="H77" s="489"/>
      <c r="I77" s="489"/>
      <c r="J77" s="292"/>
      <c r="K77" s="175"/>
      <c r="L77" s="486"/>
      <c r="M77" s="487"/>
      <c r="N77" s="487"/>
      <c r="O77" s="284"/>
      <c r="P77" s="175"/>
      <c r="Q77" s="488"/>
      <c r="R77" s="489"/>
      <c r="S77" s="489"/>
      <c r="T77" s="285"/>
      <c r="U77" s="175"/>
      <c r="V77" s="490"/>
      <c r="W77" s="491"/>
      <c r="X77" s="487"/>
      <c r="Y77" s="284"/>
      <c r="Z77" s="175"/>
      <c r="AA77" s="490"/>
      <c r="AB77" s="487"/>
      <c r="AC77" s="284"/>
      <c r="AD77" s="1284"/>
      <c r="AE77" s="928"/>
    </row>
    <row r="78" spans="1:31" ht="19.5" thickBot="1" x14ac:dyDescent="0.35">
      <c r="A78" s="199" t="s">
        <v>103</v>
      </c>
      <c r="B78" s="469">
        <f>B41+B76+B77</f>
        <v>5702734.5600000005</v>
      </c>
      <c r="C78" s="470">
        <f>C41+C76+C77</f>
        <v>3948313.98</v>
      </c>
      <c r="D78" s="470">
        <f>D41+D76+D77</f>
        <v>-1754420.58</v>
      </c>
      <c r="E78" s="237">
        <f>IF(ISERROR(D78/B78),"-",D78/B78)</f>
        <v>-0.30764549209528697</v>
      </c>
      <c r="F78" s="256"/>
      <c r="G78" s="469">
        <f>G41+G76+G77</f>
        <v>4192608.56</v>
      </c>
      <c r="H78" s="470">
        <f>H41+H76+H77</f>
        <v>4705860.6999999993</v>
      </c>
      <c r="I78" s="470">
        <f>I41+I76+I77</f>
        <v>513252.1399999999</v>
      </c>
      <c r="J78" s="237">
        <f>IF(ISERROR(I78/G78),"-",I78/G78)</f>
        <v>0.12241833041527728</v>
      </c>
      <c r="K78" s="256"/>
      <c r="L78" s="469">
        <f>L41+L76+L77</f>
        <v>4161101.56</v>
      </c>
      <c r="M78" s="470">
        <f>M41+M76+M77</f>
        <v>5204490</v>
      </c>
      <c r="N78" s="470">
        <f>N41+N76+N77</f>
        <v>1043388.4400000002</v>
      </c>
      <c r="O78" s="237">
        <f>IF(ISERROR(N78/L78),"-",N78/L78)</f>
        <v>0.25074813122321393</v>
      </c>
      <c r="P78" s="256"/>
      <c r="Q78" s="469">
        <f>Q41+Q76+Q77</f>
        <v>4274029.6140000001</v>
      </c>
      <c r="R78" s="470">
        <f>R41+R76+R77</f>
        <v>5375332.9400000004</v>
      </c>
      <c r="S78" s="470">
        <f>S41+S76+S77</f>
        <v>1101303.3259999999</v>
      </c>
      <c r="T78" s="237">
        <f>IF(ISERROR(S78/Q78),"-",S78/Q78)</f>
        <v>0.25767330258839893</v>
      </c>
      <c r="U78" s="256"/>
      <c r="V78" s="469">
        <f>V41+V76+V77</f>
        <v>18330474.294</v>
      </c>
      <c r="W78" s="470">
        <f>W41+W76+W77</f>
        <v>19233997.620000001</v>
      </c>
      <c r="X78" s="470">
        <f>X41+X76</f>
        <v>903523.32600000058</v>
      </c>
      <c r="Y78" s="237">
        <f>IF(ISERROR(X78/V78),"-",X78/V78)</f>
        <v>4.9290777287511064E-2</v>
      </c>
      <c r="Z78" s="256"/>
      <c r="AA78" s="469">
        <f>AA41+AA76+AA77</f>
        <v>23274609</v>
      </c>
      <c r="AB78" s="470">
        <f>AB41+AB76+AB77</f>
        <v>4040611.3799999985</v>
      </c>
      <c r="AC78" s="237">
        <f>IF(ISERROR(AB78/AA78),"-",AB78/AA78)</f>
        <v>0.17360598324122217</v>
      </c>
      <c r="AD78" s="1375"/>
      <c r="AE78" s="930"/>
    </row>
    <row r="79" spans="1:31" ht="33" customHeight="1" thickBot="1" x14ac:dyDescent="0.35">
      <c r="A79" s="288" t="s">
        <v>170</v>
      </c>
      <c r="B79" s="486">
        <f>B25-B78</f>
        <v>654597.43999999948</v>
      </c>
      <c r="C79" s="486">
        <f>C25-C78</f>
        <v>4159390.02</v>
      </c>
      <c r="D79" s="486">
        <f>D25-D78</f>
        <v>3504792.58</v>
      </c>
      <c r="E79" s="289"/>
      <c r="F79" s="290">
        <f>F25-F78</f>
        <v>0</v>
      </c>
      <c r="G79" s="486">
        <f>G25-G78</f>
        <v>2159158.44</v>
      </c>
      <c r="H79" s="486">
        <f>H25-H78</f>
        <v>1481505.3000000007</v>
      </c>
      <c r="I79" s="486">
        <f>I25-I78</f>
        <v>-677653.1399999999</v>
      </c>
      <c r="J79" s="290"/>
      <c r="K79" s="290">
        <f>K25-K78</f>
        <v>0</v>
      </c>
      <c r="L79" s="486">
        <f>L25-L78</f>
        <v>1641403.44</v>
      </c>
      <c r="M79" s="486">
        <f>M25-M78</f>
        <v>-335067</v>
      </c>
      <c r="N79" s="486">
        <f>N25-N78</f>
        <v>-1976470.4400000002</v>
      </c>
      <c r="O79" s="290"/>
      <c r="P79" s="290">
        <f>P25-P78</f>
        <v>0</v>
      </c>
      <c r="Q79" s="486">
        <f>Q25-Q78</f>
        <v>2062937.3859999999</v>
      </c>
      <c r="R79" s="486">
        <f>R25-R78</f>
        <v>1551303.0600000005</v>
      </c>
      <c r="S79" s="486">
        <f>S25-S78</f>
        <v>-511634.32599999988</v>
      </c>
      <c r="T79" s="290"/>
      <c r="U79" s="290">
        <f>U25-U78</f>
        <v>0</v>
      </c>
      <c r="V79" s="486">
        <f>V25-V78</f>
        <v>6518096.7060000002</v>
      </c>
      <c r="W79" s="486">
        <f>W25-W78</f>
        <v>6857131.379999999</v>
      </c>
      <c r="X79" s="486">
        <f>X25-X78</f>
        <v>339034.67399999942</v>
      </c>
      <c r="Y79" s="290"/>
      <c r="Z79" s="290">
        <f>Z25-Z78</f>
        <v>0</v>
      </c>
      <c r="AA79" s="486">
        <f>AA25-AA78</f>
        <v>1681741.1788700037</v>
      </c>
      <c r="AB79" s="486">
        <f>AB25-AB78</f>
        <v>-5175390.2011299981</v>
      </c>
      <c r="AC79" s="856"/>
      <c r="AD79" s="1284"/>
      <c r="AE79" s="928"/>
    </row>
    <row r="80" spans="1:31" ht="19.5" thickBot="1" x14ac:dyDescent="0.35">
      <c r="A80" s="291" t="s">
        <v>171</v>
      </c>
      <c r="B80" s="486"/>
      <c r="C80" s="487"/>
      <c r="D80" s="487">
        <f>C80-B80</f>
        <v>0</v>
      </c>
      <c r="E80" s="245"/>
      <c r="F80" s="175"/>
      <c r="G80" s="488"/>
      <c r="H80" s="489"/>
      <c r="I80" s="487">
        <f>H80-G80</f>
        <v>0</v>
      </c>
      <c r="J80" s="292"/>
      <c r="K80" s="175"/>
      <c r="L80" s="486"/>
      <c r="M80" s="487"/>
      <c r="N80" s="487">
        <f>M80-L80</f>
        <v>0</v>
      </c>
      <c r="O80" s="284"/>
      <c r="P80" s="175"/>
      <c r="Q80" s="488"/>
      <c r="R80" s="489"/>
      <c r="S80" s="487">
        <f>R80-Q80</f>
        <v>0</v>
      </c>
      <c r="T80" s="292"/>
      <c r="U80" s="175"/>
      <c r="V80" s="490"/>
      <c r="W80" s="491"/>
      <c r="X80" s="487"/>
      <c r="Y80" s="284"/>
      <c r="Z80" s="175"/>
      <c r="AA80" s="490"/>
      <c r="AB80" s="487"/>
      <c r="AC80" s="284"/>
      <c r="AD80" s="1284"/>
      <c r="AE80" s="928"/>
    </row>
    <row r="81" spans="1:31" ht="25.5" customHeight="1" thickBot="1" x14ac:dyDescent="0.35">
      <c r="A81" s="293" t="s">
        <v>172</v>
      </c>
      <c r="B81" s="486">
        <f>B79-B80</f>
        <v>654597.43999999948</v>
      </c>
      <c r="C81" s="486">
        <f t="shared" ref="C81:Q81" si="46">C79-C80</f>
        <v>4159390.02</v>
      </c>
      <c r="D81" s="897">
        <f t="shared" si="46"/>
        <v>3504792.58</v>
      </c>
      <c r="E81" s="896"/>
      <c r="F81" s="290">
        <f>F27-F80</f>
        <v>0</v>
      </c>
      <c r="G81" s="486">
        <f t="shared" si="46"/>
        <v>2159158.44</v>
      </c>
      <c r="H81" s="486">
        <f t="shared" si="46"/>
        <v>1481505.3000000007</v>
      </c>
      <c r="I81" s="486">
        <f t="shared" si="46"/>
        <v>-677653.1399999999</v>
      </c>
      <c r="J81" s="896"/>
      <c r="K81" s="290">
        <f>K27-K80</f>
        <v>0</v>
      </c>
      <c r="L81" s="486">
        <f t="shared" si="46"/>
        <v>1641403.44</v>
      </c>
      <c r="M81" s="486">
        <f t="shared" si="46"/>
        <v>-335067</v>
      </c>
      <c r="N81" s="486">
        <f t="shared" si="46"/>
        <v>-1976470.4400000002</v>
      </c>
      <c r="O81" s="896"/>
      <c r="P81" s="290">
        <f>P27-P80</f>
        <v>0</v>
      </c>
      <c r="Q81" s="486">
        <f t="shared" si="46"/>
        <v>2062937.3859999999</v>
      </c>
      <c r="R81" s="486">
        <f>R79-R80</f>
        <v>1551303.0600000005</v>
      </c>
      <c r="S81" s="486">
        <f>S79-S80</f>
        <v>-511634.32599999988</v>
      </c>
      <c r="T81" s="896"/>
      <c r="U81" s="290">
        <f>U27-U80</f>
        <v>0</v>
      </c>
      <c r="V81" s="486">
        <f>V79-V80</f>
        <v>6518096.7060000002</v>
      </c>
      <c r="W81" s="486">
        <f>W79-W80</f>
        <v>6857131.379999999</v>
      </c>
      <c r="X81" s="486">
        <f>X79-X80</f>
        <v>339034.67399999942</v>
      </c>
      <c r="Y81" s="896"/>
      <c r="Z81" s="290">
        <f>Z27-Z80</f>
        <v>0</v>
      </c>
      <c r="AA81" s="486">
        <f>AA79-AA80</f>
        <v>1681741.1788700037</v>
      </c>
      <c r="AB81" s="486">
        <f>AB79-AB80</f>
        <v>-5175390.2011299981</v>
      </c>
      <c r="AC81" s="1364" t="str">
        <f t="shared" ref="AC81" si="47">IF(ISERROR(AB81/Z81),"-",AB81/Z81)</f>
        <v>-</v>
      </c>
      <c r="AD81" s="1284"/>
      <c r="AE81" s="928"/>
    </row>
    <row r="82" spans="1:31" ht="29.25" customHeight="1" x14ac:dyDescent="0.3">
      <c r="A82" s="172" t="s">
        <v>104</v>
      </c>
      <c r="B82" s="450"/>
      <c r="C82" s="451"/>
      <c r="D82" s="451">
        <f>B82-C82</f>
        <v>0</v>
      </c>
      <c r="E82" s="220" t="str">
        <f>IF(ISERROR(D82/B82),"-",D82/B82)</f>
        <v>-</v>
      </c>
      <c r="F82" s="256"/>
      <c r="G82" s="463"/>
      <c r="H82" s="464"/>
      <c r="I82" s="464">
        <f>G82-H82</f>
        <v>0</v>
      </c>
      <c r="J82" s="295" t="str">
        <f>IF(ISERROR(I82/G82),"-",I82/G82)</f>
        <v>-</v>
      </c>
      <c r="K82" s="256"/>
      <c r="L82" s="450"/>
      <c r="M82" s="451"/>
      <c r="N82" s="451">
        <f>L82-M82</f>
        <v>0</v>
      </c>
      <c r="O82" s="294" t="str">
        <f>IF(ISERROR(N82/L82),"-",N82/L82)</f>
        <v>-</v>
      </c>
      <c r="P82" s="256"/>
      <c r="Q82" s="463"/>
      <c r="R82" s="464"/>
      <c r="S82" s="464">
        <f>Q82-R82</f>
        <v>0</v>
      </c>
      <c r="T82" s="295" t="str">
        <f>IF(ISERROR(S82/Q82),"-",S82/Q82)</f>
        <v>-</v>
      </c>
      <c r="U82" s="256"/>
      <c r="V82" s="450">
        <f>B82+G82+L82+Q82</f>
        <v>0</v>
      </c>
      <c r="W82" s="451">
        <f>C82+H82+M82+R82</f>
        <v>0</v>
      </c>
      <c r="X82" s="451">
        <f>V82-W82</f>
        <v>0</v>
      </c>
      <c r="Y82" s="294" t="str">
        <f>IF(ISERROR(X82/V82),"-",X82/V82)</f>
        <v>-</v>
      </c>
      <c r="Z82" s="256"/>
      <c r="AA82" s="450">
        <f>G82+L82+Q82+V82</f>
        <v>0</v>
      </c>
      <c r="AB82" s="451">
        <f>AA82-W82</f>
        <v>0</v>
      </c>
      <c r="AC82" s="294" t="str">
        <f>IF(ISERROR(AB82/AA82),"-",AB82/AA82)</f>
        <v>-</v>
      </c>
      <c r="AD82" s="1375"/>
      <c r="AE82" s="928"/>
    </row>
    <row r="83" spans="1:31" ht="19.5" thickBot="1" x14ac:dyDescent="0.35">
      <c r="A83" s="296" t="s">
        <v>105</v>
      </c>
      <c r="B83" s="492">
        <f>B81-B82</f>
        <v>654597.43999999948</v>
      </c>
      <c r="C83" s="492">
        <f>C81-C82</f>
        <v>4159390.02</v>
      </c>
      <c r="D83" s="493">
        <f>C83-B83</f>
        <v>3504792.5800000005</v>
      </c>
      <c r="E83" s="299">
        <f>IF(ISERROR(D83/B83),"-",D83/B83)</f>
        <v>5.3541189834167442</v>
      </c>
      <c r="F83" s="300"/>
      <c r="G83" s="492">
        <f>G81-G82</f>
        <v>2159158.44</v>
      </c>
      <c r="H83" s="492">
        <f>H81-H82</f>
        <v>1481505.3000000007</v>
      </c>
      <c r="I83" s="493">
        <f>H83-G83</f>
        <v>-677653.1399999992</v>
      </c>
      <c r="J83" s="299">
        <f>IF(ISERROR(I83/G83),"-",I83/G83)</f>
        <v>-0.31385058523078985</v>
      </c>
      <c r="K83" s="300"/>
      <c r="L83" s="492">
        <f>L81-L82</f>
        <v>1641403.44</v>
      </c>
      <c r="M83" s="492">
        <f>M81-M82</f>
        <v>-335067</v>
      </c>
      <c r="N83" s="493">
        <f>M83-L83</f>
        <v>-1976470.44</v>
      </c>
      <c r="O83" s="299">
        <f>IF(ISERROR(N83/L83),"-",N83/L83)</f>
        <v>-1.2041344570351333</v>
      </c>
      <c r="P83" s="300"/>
      <c r="Q83" s="492">
        <f>Q81-Q82</f>
        <v>2062937.3859999999</v>
      </c>
      <c r="R83" s="492">
        <f>R81-R82</f>
        <v>1551303.0600000005</v>
      </c>
      <c r="S83" s="493">
        <f>R83-Q83</f>
        <v>-511634.32599999942</v>
      </c>
      <c r="T83" s="299">
        <f>IF(ISERROR(S83/Q83),"-",S83/Q83)</f>
        <v>-0.24801253274683704</v>
      </c>
      <c r="U83" s="300"/>
      <c r="V83" s="494">
        <f>V81-V82</f>
        <v>6518096.7060000002</v>
      </c>
      <c r="W83" s="494">
        <f>W81-W82</f>
        <v>6857131.379999999</v>
      </c>
      <c r="X83" s="493">
        <f>W83-V83</f>
        <v>339034.67399999872</v>
      </c>
      <c r="Y83" s="303">
        <f>IF(ISERROR(X83/V83),"-",X83/V83)</f>
        <v>5.2014366968184518E-2</v>
      </c>
      <c r="Z83" s="300"/>
      <c r="AA83" s="494">
        <f>AA81-AA82</f>
        <v>1681741.1788700037</v>
      </c>
      <c r="AB83" s="494">
        <f>AB81-AB82</f>
        <v>-5175390.2011299981</v>
      </c>
      <c r="AC83" s="303">
        <f>IF(ISERROR(AB83/AA83),"-",AB83/AA83)</f>
        <v>-3.0773999389177402</v>
      </c>
      <c r="AE83" s="189"/>
    </row>
  </sheetData>
  <sheetProtection algorithmName="SHA-512" hashValue="qEWWTfqSv31eNauDtHx7AbkmLqPp4fnlzAMj8r0AM6IhGyov8mbmznKUg+pkS5Aw780UYvz46V4L+s2Fov5lxw==" saltValue="M+ZonKxRryQzBXBZR0VQyw==" spinCount="100000" sheet="1" objects="1" scenarios="1"/>
  <mergeCells count="19">
    <mergeCell ref="AE9:AE11"/>
    <mergeCell ref="D10:E10"/>
    <mergeCell ref="I10:J10"/>
    <mergeCell ref="N10:O10"/>
    <mergeCell ref="S10:T10"/>
    <mergeCell ref="X10:Y10"/>
    <mergeCell ref="AB10:AC10"/>
    <mergeCell ref="B9:E9"/>
    <mergeCell ref="G9:J9"/>
    <mergeCell ref="L9:O9"/>
    <mergeCell ref="Q9:T9"/>
    <mergeCell ref="V9:Y9"/>
    <mergeCell ref="AA9:AC9"/>
    <mergeCell ref="A7:H7"/>
    <mergeCell ref="A1:H1"/>
    <mergeCell ref="A3:H3"/>
    <mergeCell ref="A4:H4"/>
    <mergeCell ref="A5:H5"/>
    <mergeCell ref="A6:H6"/>
  </mergeCells>
  <conditionalFormatting sqref="E56">
    <cfRule type="cellIs" dxfId="7" priority="1" stopIfTrue="1" operator="equal">
      <formula>""""""</formula>
    </cfRule>
  </conditionalFormatting>
  <pageMargins left="0.7" right="0.7" top="0.75" bottom="0.75" header="0.3" footer="0.3"/>
  <pageSetup paperSize="17" scale="44" fitToHeight="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5</vt:i4>
      </vt:variant>
    </vt:vector>
  </HeadingPairs>
  <TitlesOfParts>
    <vt:vector size="30" baseType="lpstr">
      <vt:lpstr>Consolidated Fin Position Q4</vt:lpstr>
      <vt:lpstr>Consolidated Inc Statement Q4</vt:lpstr>
      <vt:lpstr>Financial Ratios</vt:lpstr>
      <vt:lpstr>ADB Fin. Postition </vt:lpstr>
      <vt:lpstr>ADB Inc. Statement</vt:lpstr>
      <vt:lpstr>ATB Fin. Position</vt:lpstr>
      <vt:lpstr>ATB Inc. Statement</vt:lpstr>
      <vt:lpstr>AASPA Fin. Position</vt:lpstr>
      <vt:lpstr>AASPA Inc. Statement</vt:lpstr>
      <vt:lpstr>ACC Fin. Position</vt:lpstr>
      <vt:lpstr>ACC Inc Statement</vt:lpstr>
      <vt:lpstr>ANT Fin. Position</vt:lpstr>
      <vt:lpstr>ANT Inc Statement</vt:lpstr>
      <vt:lpstr>PSPF Fin. Position</vt:lpstr>
      <vt:lpstr>PSPF Inc. Statement</vt:lpstr>
      <vt:lpstr>AFSC Fin. Position</vt:lpstr>
      <vt:lpstr>AFSC Inc. Statement</vt:lpstr>
      <vt:lpstr>PUC Fin. Position</vt:lpstr>
      <vt:lpstr>PUC Inc. Statement</vt:lpstr>
      <vt:lpstr>ASSB Fin. Position</vt:lpstr>
      <vt:lpstr>ASSB Inc. Statement</vt:lpstr>
      <vt:lpstr>HAA Fin. Position</vt:lpstr>
      <vt:lpstr>HAA Inc. Statement</vt:lpstr>
      <vt:lpstr>WCA Fin. Position</vt:lpstr>
      <vt:lpstr>WCA Inc. Statement</vt:lpstr>
      <vt:lpstr>A1.</vt:lpstr>
      <vt:lpstr>'AASPA Inc. Statement'!Print_Area</vt:lpstr>
      <vt:lpstr>'ACC Inc Statement'!Print_Area</vt:lpstr>
      <vt:lpstr>'AFSC Inc. Statement'!Print_Titles</vt:lpstr>
      <vt:lpstr>'WCA Inc. Statement'!Print_Titles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GoA</dc:creator>
  <cp:lastModifiedBy>Clemaurde S. Gumbs</cp:lastModifiedBy>
  <cp:lastPrinted>2026-07-01T13:26:21Z</cp:lastPrinted>
  <dcterms:created xsi:type="dcterms:W3CDTF">2020-08-17T18:48:33Z</dcterms:created>
  <dcterms:modified xsi:type="dcterms:W3CDTF">2026-07-01T13:28:50Z</dcterms:modified>
</cp:coreProperties>
</file>